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comments4.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5.xml" ContentType="application/vnd.openxmlformats-officedocument.spreadsheetml.comments+xml"/>
  <Override PartName="/xl/tables/table16.xml" ContentType="application/vnd.openxmlformats-officedocument.spreadsheetml.table+xml"/>
  <Override PartName="/xl/comments6.xml" ContentType="application/vnd.openxmlformats-officedocument.spreadsheetml.comments+xml"/>
  <Override PartName="/xl/tables/table17.xml" ContentType="application/vnd.openxmlformats-officedocument.spreadsheetml.table+xml"/>
  <Override PartName="/xl/tables/table18.xml" ContentType="application/vnd.openxmlformats-officedocument.spreadsheetml.table+xml"/>
  <Override PartName="/xl/comments7.xml" ContentType="application/vnd.openxmlformats-officedocument.spreadsheetml.comments+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showInkAnnotation="0" codeName="DieseArbeitsmappe"/>
  <mc:AlternateContent xmlns:mc="http://schemas.openxmlformats.org/markup-compatibility/2006">
    <mc:Choice Requires="x15">
      <x15ac:absPath xmlns:x15ac="http://schemas.microsoft.com/office/spreadsheetml/2010/11/ac" url="X:\Kalkulatoren\Onshore-Kalkulator\"/>
    </mc:Choice>
  </mc:AlternateContent>
  <xr:revisionPtr revIDLastSave="0" documentId="13_ncr:1_{4DF5BD1D-644B-415F-8879-22F20ABEAAA9}" xr6:coauthVersionLast="38" xr6:coauthVersionMax="38" xr10:uidLastSave="{00000000-0000-0000-0000-000000000000}"/>
  <bookViews>
    <workbookView xWindow="0" yWindow="0" windowWidth="23040" windowHeight="9375" tabRatio="943" xr2:uid="{00000000-000D-0000-FFFF-FFFF00000000}"/>
  </bookViews>
  <sheets>
    <sheet name="Input" sheetId="1" r:id="rId1"/>
    <sheet name="Output decentralized" sheetId="3" r:id="rId2"/>
    <sheet name="Output centralized" sheetId="26" r:id="rId3"/>
    <sheet name="Executive Summary" sheetId="12" r:id="rId4"/>
    <sheet name="Print" sheetId="21" r:id="rId5"/>
    <sheet name="Offer Sheet" sheetId="27" r:id="rId6"/>
    <sheet name="Change" sheetId="11" r:id="rId7"/>
    <sheet name="Cost Calculation" sheetId="4" r:id="rId8"/>
    <sheet name="Scheduled Maintenance" sheetId="22" state="hidden" r:id="rId9"/>
    <sheet name="Unscheduled Maintenance" sheetId="6" state="hidden" r:id="rId10"/>
    <sheet name="Main Component" sheetId="8" state="hidden" r:id="rId11"/>
    <sheet name="Options_neu" sheetId="28" state="hidden" r:id="rId12"/>
    <sheet name="Insurance " sheetId="9" state="hidden" r:id="rId13"/>
    <sheet name="Service Rates " sheetId="10" state="hidden" r:id="rId14"/>
    <sheet name="HelpInput" sheetId="2" state="hidden" r:id="rId15"/>
  </sheets>
  <externalReferences>
    <externalReference r:id="rId16"/>
    <externalReference r:id="rId17"/>
    <externalReference r:id="rId18"/>
  </externalReferences>
  <definedNames>
    <definedName name="Author">Tabelle2[#All]</definedName>
    <definedName name="AV">'Cost Calculation'!$BA$8</definedName>
    <definedName name="Availability">'[1]Referenzen Input'!$M$3:$M$10</definedName>
    <definedName name="BFA">#REF!</definedName>
    <definedName name="Contract">'[1]Referenzen Input'!$L$3:$L$8</definedName>
    <definedName name="_xlnm.Print_Area" localSheetId="5">'Offer Sheet'!$A$1:$J$53</definedName>
    <definedName name="_xlnm.Print_Area" localSheetId="4">Print!$A$1:$B$106</definedName>
    <definedName name="Enercon" localSheetId="2">Tabelle9[Enercon]</definedName>
    <definedName name="Enercon">Tabelle9[Enercon]</definedName>
    <definedName name="FailureProbability">'Main Component'!$BD$6:$BK$31</definedName>
    <definedName name="Fuhrländer">HelpInput!$F$21:$F$26</definedName>
    <definedName name="Gamesa" localSheetId="2">Tabelle9[Gamesa]</definedName>
    <definedName name="Gamesa">Tabelle9[Gamesa]</definedName>
    <definedName name="Höhe1">'Main Component'!$BN$5</definedName>
    <definedName name="Höhe2">'Main Component'!$BO$5</definedName>
    <definedName name="Höhe3">'Main Component'!$BP$5</definedName>
    <definedName name="Höhe4">'Main Component'!$BQ$5</definedName>
    <definedName name="Höhe5">'Main Component'!$BR$5</definedName>
    <definedName name="Höhe6">'Main Component'!$BS$5</definedName>
    <definedName name="Manufacturer">[2]Help!$A$1:$G$1</definedName>
    <definedName name="Masse1">'Main Component'!$BM$6</definedName>
    <definedName name="Masse2">'Main Component'!$BM$7</definedName>
    <definedName name="Masse3">'Main Component'!$BM$8</definedName>
    <definedName name="Masse4">'Main Component'!$BM$9</definedName>
    <definedName name="Masse5">'Main Component'!$BM$10</definedName>
    <definedName name="Masse6">'Main Component'!$BM$11</definedName>
    <definedName name="Masse7">'Main Component'!$BM$12</definedName>
    <definedName name="Masse8">'Main Component'!$BM$13</definedName>
    <definedName name="Masse9">'Main Component'!$BM$14</definedName>
    <definedName name="NaHö">Input!$G$9</definedName>
    <definedName name="NEGMICON">HelpInput!$B$21:$B$26</definedName>
    <definedName name="Nordex">HelpInput!$G$21:$G$33</definedName>
    <definedName name="Schuler" localSheetId="2">HelpInput!#REF!</definedName>
    <definedName name="Schuler">HelpInput!#REF!</definedName>
    <definedName name="SENVION">HelpInput!$E$21:$E$32</definedName>
    <definedName name="Siemens">HelpInput!$C$21:$C$28</definedName>
    <definedName name="SiemensÜ" localSheetId="2">HelpInput!#REF!</definedName>
    <definedName name="SiemensÜ">HelpInput!#REF!</definedName>
    <definedName name="Tabelle90" localSheetId="2">Tabelle19[#All]</definedName>
    <definedName name="Tabelle90">Tabelle19[#All]</definedName>
    <definedName name="Table_options">Options_neu!$A$3:$V$86</definedName>
    <definedName name="Tower">'[1]Referenzen Input'!$J$3:$J$4</definedName>
    <definedName name="TYP" localSheetId="12">[1]!Tabelle52[Type 1]</definedName>
    <definedName name="TYP" localSheetId="13">[1]!Tabelle52[Type 1]</definedName>
    <definedName name="TYP">[1]!Tabelle52[Type 1]</definedName>
    <definedName name="Vertragsart">Input!$D$17</definedName>
    <definedName name="VESTAS">HelpInput!$D$21:$D$27</definedName>
    <definedName name="VestasÜ" localSheetId="2">HelpInput!#REF!</definedName>
    <definedName name="VestasÜ">HelpInput!#REF!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0" i="27" l="1"/>
  <c r="D63" i="12" l="1"/>
  <c r="J19" i="27" l="1"/>
  <c r="J38" i="27"/>
  <c r="J37" i="27"/>
  <c r="J36" i="27"/>
  <c r="J35" i="27"/>
  <c r="J34" i="27"/>
  <c r="J33" i="27"/>
  <c r="J32" i="27"/>
  <c r="J31" i="27"/>
  <c r="J30" i="27"/>
  <c r="J39" i="27"/>
  <c r="J40" i="27"/>
  <c r="J41" i="27"/>
  <c r="J42" i="27"/>
  <c r="H33" i="27"/>
  <c r="B41" i="27"/>
  <c r="A40" i="21" l="1"/>
  <c r="A41" i="21"/>
  <c r="A42" i="21"/>
  <c r="A38" i="21"/>
  <c r="A39" i="21"/>
  <c r="L5" i="28"/>
  <c r="L6" i="28"/>
  <c r="L7" i="28"/>
  <c r="L8" i="28"/>
  <c r="L9" i="28"/>
  <c r="L10" i="28"/>
  <c r="L11" i="28"/>
  <c r="L12" i="28"/>
  <c r="L13" i="28"/>
  <c r="L14" i="28"/>
  <c r="L15" i="28"/>
  <c r="L16" i="28"/>
  <c r="L17" i="28"/>
  <c r="L18" i="28"/>
  <c r="L19" i="28"/>
  <c r="L20" i="28"/>
  <c r="L21" i="28"/>
  <c r="L22" i="28"/>
  <c r="L23" i="28"/>
  <c r="L24" i="28"/>
  <c r="L25" i="28"/>
  <c r="L26" i="28"/>
  <c r="L27" i="28"/>
  <c r="L28" i="28"/>
  <c r="L29" i="28"/>
  <c r="L30" i="28"/>
  <c r="L31" i="28"/>
  <c r="L32" i="28"/>
  <c r="L33" i="28"/>
  <c r="L34" i="28"/>
  <c r="L35" i="28"/>
  <c r="L36" i="28"/>
  <c r="L37" i="28"/>
  <c r="L38" i="28"/>
  <c r="L39" i="28"/>
  <c r="L40" i="28"/>
  <c r="L41" i="28"/>
  <c r="L42" i="28"/>
  <c r="L43" i="28"/>
  <c r="L44" i="28"/>
  <c r="L45" i="28"/>
  <c r="L46" i="28"/>
  <c r="L47" i="28"/>
  <c r="L48" i="28"/>
  <c r="L49" i="28"/>
  <c r="L50" i="28"/>
  <c r="L51" i="28"/>
  <c r="L52" i="28"/>
  <c r="L53" i="28"/>
  <c r="L54" i="28"/>
  <c r="L55" i="28"/>
  <c r="L56" i="28"/>
  <c r="L57" i="28"/>
  <c r="L58" i="28"/>
  <c r="L59" i="28"/>
  <c r="L60" i="28"/>
  <c r="L61" i="28"/>
  <c r="L62" i="28"/>
  <c r="L63" i="28"/>
  <c r="L64" i="28"/>
  <c r="L65" i="28"/>
  <c r="L66" i="28"/>
  <c r="L67" i="28"/>
  <c r="L68" i="28"/>
  <c r="L69" i="28"/>
  <c r="L70" i="28"/>
  <c r="L71" i="28"/>
  <c r="L72" i="28"/>
  <c r="L73" i="28"/>
  <c r="L74" i="28"/>
  <c r="L75" i="28"/>
  <c r="L76" i="28"/>
  <c r="L77" i="28"/>
  <c r="L78" i="28"/>
  <c r="L79" i="28"/>
  <c r="L80" i="28"/>
  <c r="L81" i="28"/>
  <c r="L82" i="28"/>
  <c r="L83" i="28"/>
  <c r="L84" i="28"/>
  <c r="L85" i="28"/>
  <c r="L86" i="28"/>
  <c r="L4" i="28"/>
  <c r="AH25" i="4"/>
  <c r="AG31" i="4"/>
  <c r="V5" i="28"/>
  <c r="V6" i="28"/>
  <c r="V7" i="28"/>
  <c r="V8" i="28"/>
  <c r="V9" i="28"/>
  <c r="V10" i="28"/>
  <c r="V11" i="28"/>
  <c r="V12" i="28"/>
  <c r="V13" i="28"/>
  <c r="V14" i="28"/>
  <c r="V15" i="28"/>
  <c r="V16" i="28"/>
  <c r="V17" i="28"/>
  <c r="V18" i="28"/>
  <c r="V19" i="28"/>
  <c r="V20" i="28"/>
  <c r="AG30" i="4" s="1"/>
  <c r="AH30" i="4" s="1"/>
  <c r="V21" i="28"/>
  <c r="V22" i="28"/>
  <c r="V23" i="28"/>
  <c r="V24" i="28"/>
  <c r="V25" i="28"/>
  <c r="V26" i="28"/>
  <c r="V27" i="28"/>
  <c r="V28" i="28"/>
  <c r="V29" i="28"/>
  <c r="V30" i="28"/>
  <c r="V31" i="28"/>
  <c r="V32" i="28"/>
  <c r="V33" i="28"/>
  <c r="V34" i="28"/>
  <c r="V35" i="28"/>
  <c r="V36" i="28"/>
  <c r="V37" i="28"/>
  <c r="V38" i="28"/>
  <c r="V39" i="28"/>
  <c r="V40" i="28"/>
  <c r="V41" i="28"/>
  <c r="V42" i="28"/>
  <c r="V43" i="28"/>
  <c r="V44" i="28"/>
  <c r="V45" i="28"/>
  <c r="V46" i="28"/>
  <c r="V47" i="28"/>
  <c r="V48" i="28"/>
  <c r="V49" i="28"/>
  <c r="V50" i="28"/>
  <c r="V51" i="28"/>
  <c r="V52" i="28"/>
  <c r="V53" i="28"/>
  <c r="V54" i="28"/>
  <c r="V55" i="28"/>
  <c r="V56" i="28"/>
  <c r="V57" i="28"/>
  <c r="V58" i="28"/>
  <c r="V59" i="28"/>
  <c r="V60" i="28"/>
  <c r="V61" i="28"/>
  <c r="V62" i="28"/>
  <c r="V63" i="28"/>
  <c r="V64" i="28"/>
  <c r="V65" i="28"/>
  <c r="V66" i="28"/>
  <c r="V67" i="28"/>
  <c r="V68" i="28"/>
  <c r="V69" i="28"/>
  <c r="V70" i="28"/>
  <c r="V71" i="28"/>
  <c r="V72" i="28"/>
  <c r="V73" i="28"/>
  <c r="V74" i="28"/>
  <c r="V75" i="28"/>
  <c r="V76" i="28"/>
  <c r="V77" i="28"/>
  <c r="V78" i="28"/>
  <c r="V79" i="28"/>
  <c r="V80" i="28"/>
  <c r="V81" i="28"/>
  <c r="V82" i="28"/>
  <c r="V83" i="28"/>
  <c r="V84" i="28"/>
  <c r="V85" i="28"/>
  <c r="V86" i="28"/>
  <c r="U5" i="28"/>
  <c r="U6" i="28"/>
  <c r="U7" i="28"/>
  <c r="U8" i="28"/>
  <c r="U9" i="28"/>
  <c r="U10" i="28"/>
  <c r="U11" i="28"/>
  <c r="U12" i="28"/>
  <c r="U13" i="28"/>
  <c r="U14" i="28"/>
  <c r="U15" i="28"/>
  <c r="U16" i="28"/>
  <c r="U17" i="28"/>
  <c r="U18" i="28"/>
  <c r="U19" i="28"/>
  <c r="U20" i="28"/>
  <c r="AG29" i="4" s="1"/>
  <c r="AH29" i="4" s="1"/>
  <c r="U21" i="28"/>
  <c r="U22" i="28"/>
  <c r="U23" i="28"/>
  <c r="U24" i="28"/>
  <c r="U25" i="28"/>
  <c r="U26" i="28"/>
  <c r="U27" i="28"/>
  <c r="U28" i="28"/>
  <c r="U29" i="28"/>
  <c r="U30" i="28"/>
  <c r="U31" i="28"/>
  <c r="U32" i="28"/>
  <c r="U33" i="28"/>
  <c r="U34" i="28"/>
  <c r="U35" i="28"/>
  <c r="U36" i="28"/>
  <c r="U37" i="28"/>
  <c r="U38" i="28"/>
  <c r="U39" i="28"/>
  <c r="U40" i="28"/>
  <c r="U41" i="28"/>
  <c r="U42" i="28"/>
  <c r="U43" i="28"/>
  <c r="U44" i="28"/>
  <c r="U45" i="28"/>
  <c r="U46" i="28"/>
  <c r="U47" i="28"/>
  <c r="U48" i="28"/>
  <c r="U49" i="28"/>
  <c r="U50" i="28"/>
  <c r="U51" i="28"/>
  <c r="U52" i="28"/>
  <c r="U53" i="28"/>
  <c r="U54" i="28"/>
  <c r="U55" i="28"/>
  <c r="U56" i="28"/>
  <c r="U57" i="28"/>
  <c r="U58" i="28"/>
  <c r="U59" i="28"/>
  <c r="U60" i="28"/>
  <c r="U61" i="28"/>
  <c r="U62" i="28"/>
  <c r="U63" i="28"/>
  <c r="U64" i="28"/>
  <c r="U65" i="28"/>
  <c r="U66" i="28"/>
  <c r="U67" i="28"/>
  <c r="U68" i="28"/>
  <c r="U69" i="28"/>
  <c r="U70" i="28"/>
  <c r="U71" i="28"/>
  <c r="U72" i="28"/>
  <c r="U73" i="28"/>
  <c r="U74" i="28"/>
  <c r="U75" i="28"/>
  <c r="U76" i="28"/>
  <c r="U77" i="28"/>
  <c r="U78" i="28"/>
  <c r="U79" i="28"/>
  <c r="U80" i="28"/>
  <c r="U81" i="28"/>
  <c r="U82" i="28"/>
  <c r="U83" i="28"/>
  <c r="U84" i="28"/>
  <c r="U85" i="28"/>
  <c r="U86" i="28"/>
  <c r="T5" i="28"/>
  <c r="T6" i="28"/>
  <c r="T7" i="28"/>
  <c r="T8" i="28"/>
  <c r="T9" i="28"/>
  <c r="T10" i="28"/>
  <c r="T11" i="28"/>
  <c r="T12" i="28"/>
  <c r="T13" i="28"/>
  <c r="T14" i="28"/>
  <c r="T15" i="28"/>
  <c r="T16" i="28"/>
  <c r="T17" i="28"/>
  <c r="T18" i="28"/>
  <c r="T19" i="28"/>
  <c r="T20" i="28"/>
  <c r="AG28" i="4" s="1"/>
  <c r="AH28" i="4" s="1"/>
  <c r="T21" i="28"/>
  <c r="T22" i="28"/>
  <c r="T23" i="28"/>
  <c r="T24" i="28"/>
  <c r="T25" i="28"/>
  <c r="T26" i="28"/>
  <c r="T27" i="28"/>
  <c r="T28" i="28"/>
  <c r="T29" i="28"/>
  <c r="T30" i="28"/>
  <c r="T31" i="28"/>
  <c r="T32" i="28"/>
  <c r="T33" i="28"/>
  <c r="T34" i="28"/>
  <c r="T35" i="28"/>
  <c r="T36" i="28"/>
  <c r="T37" i="28"/>
  <c r="T38" i="28"/>
  <c r="T39" i="28"/>
  <c r="T40" i="28"/>
  <c r="T41" i="28"/>
  <c r="T42" i="28"/>
  <c r="T43" i="28"/>
  <c r="T44" i="28"/>
  <c r="T45" i="28"/>
  <c r="T46" i="28"/>
  <c r="T47" i="28"/>
  <c r="T48" i="28"/>
  <c r="T49" i="28"/>
  <c r="T50" i="28"/>
  <c r="T51" i="28"/>
  <c r="T52" i="28"/>
  <c r="T53" i="28"/>
  <c r="T54" i="28"/>
  <c r="T55" i="28"/>
  <c r="T56" i="28"/>
  <c r="T57" i="28"/>
  <c r="T58" i="28"/>
  <c r="T59" i="28"/>
  <c r="T60" i="28"/>
  <c r="T61" i="28"/>
  <c r="T62" i="28"/>
  <c r="T63" i="28"/>
  <c r="T64" i="28"/>
  <c r="T65" i="28"/>
  <c r="T66" i="28"/>
  <c r="T67" i="28"/>
  <c r="T68" i="28"/>
  <c r="T69" i="28"/>
  <c r="T70" i="28"/>
  <c r="T71" i="28"/>
  <c r="T72" i="28"/>
  <c r="T73" i="28"/>
  <c r="T74" i="28"/>
  <c r="T75" i="28"/>
  <c r="T76" i="28"/>
  <c r="T77" i="28"/>
  <c r="T78" i="28"/>
  <c r="T79" i="28"/>
  <c r="T80" i="28"/>
  <c r="T81" i="28"/>
  <c r="T82" i="28"/>
  <c r="T83" i="28"/>
  <c r="T84" i="28"/>
  <c r="T85" i="28"/>
  <c r="T86" i="28"/>
  <c r="S5" i="28"/>
  <c r="S6" i="28"/>
  <c r="S7" i="28"/>
  <c r="S8" i="28"/>
  <c r="S9" i="28"/>
  <c r="S10" i="28"/>
  <c r="S11" i="28"/>
  <c r="S12" i="28"/>
  <c r="S13" i="28"/>
  <c r="S14" i="28"/>
  <c r="S15" i="28"/>
  <c r="S16" i="28"/>
  <c r="S17" i="28"/>
  <c r="S18" i="28"/>
  <c r="S19" i="28"/>
  <c r="S20" i="28"/>
  <c r="AG27" i="4" s="1"/>
  <c r="AH27" i="4" s="1"/>
  <c r="S21" i="28"/>
  <c r="S22" i="28"/>
  <c r="S23" i="28"/>
  <c r="S24" i="28"/>
  <c r="S25" i="28"/>
  <c r="S26" i="28"/>
  <c r="S27" i="28"/>
  <c r="S28" i="28"/>
  <c r="S29" i="28"/>
  <c r="S30" i="28"/>
  <c r="S31" i="28"/>
  <c r="S32" i="28"/>
  <c r="S33" i="28"/>
  <c r="S34" i="28"/>
  <c r="S35" i="28"/>
  <c r="S36" i="28"/>
  <c r="S37" i="28"/>
  <c r="S38" i="28"/>
  <c r="S39" i="28"/>
  <c r="S40" i="28"/>
  <c r="S41" i="28"/>
  <c r="S42" i="28"/>
  <c r="S43" i="28"/>
  <c r="S44" i="28"/>
  <c r="S45" i="28"/>
  <c r="S46" i="28"/>
  <c r="S47" i="28"/>
  <c r="S48" i="28"/>
  <c r="S49" i="28"/>
  <c r="S50" i="28"/>
  <c r="S51" i="28"/>
  <c r="S52" i="28"/>
  <c r="S53" i="28"/>
  <c r="S54" i="28"/>
  <c r="S55" i="28"/>
  <c r="S56" i="28"/>
  <c r="S57" i="28"/>
  <c r="S58" i="28"/>
  <c r="S59" i="28"/>
  <c r="S60" i="28"/>
  <c r="S61" i="28"/>
  <c r="S62" i="28"/>
  <c r="S63" i="28"/>
  <c r="S64" i="28"/>
  <c r="S65" i="28"/>
  <c r="S66" i="28"/>
  <c r="S67" i="28"/>
  <c r="S68" i="28"/>
  <c r="S69" i="28"/>
  <c r="S70" i="28"/>
  <c r="S71" i="28"/>
  <c r="S72" i="28"/>
  <c r="S73" i="28"/>
  <c r="S74" i="28"/>
  <c r="S75" i="28"/>
  <c r="S76" i="28"/>
  <c r="S77" i="28"/>
  <c r="S78" i="28"/>
  <c r="S79" i="28"/>
  <c r="S80" i="28"/>
  <c r="S81" i="28"/>
  <c r="S82" i="28"/>
  <c r="S83" i="28"/>
  <c r="S84" i="28"/>
  <c r="S85" i="28"/>
  <c r="S86" i="28"/>
  <c r="R5" i="28"/>
  <c r="R6" i="28"/>
  <c r="R7" i="28"/>
  <c r="R8" i="28"/>
  <c r="R9" i="28"/>
  <c r="R10" i="28"/>
  <c r="R11" i="28"/>
  <c r="R12" i="28"/>
  <c r="R13" i="28"/>
  <c r="R14" i="28"/>
  <c r="R15" i="28"/>
  <c r="R16" i="28"/>
  <c r="R17" i="28"/>
  <c r="R18" i="28"/>
  <c r="R19" i="28"/>
  <c r="R20" i="28"/>
  <c r="AG26" i="4" s="1"/>
  <c r="AH26" i="4" s="1"/>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54" i="28"/>
  <c r="R55" i="28"/>
  <c r="R56" i="28"/>
  <c r="R57" i="28"/>
  <c r="R58" i="28"/>
  <c r="R59" i="28"/>
  <c r="R60" i="28"/>
  <c r="R61" i="28"/>
  <c r="R62" i="28"/>
  <c r="R63" i="28"/>
  <c r="R64" i="28"/>
  <c r="R65" i="28"/>
  <c r="R66" i="28"/>
  <c r="R67" i="28"/>
  <c r="R68" i="28"/>
  <c r="R69" i="28"/>
  <c r="R70" i="28"/>
  <c r="R71" i="28"/>
  <c r="R72" i="28"/>
  <c r="R73" i="28"/>
  <c r="R74" i="28"/>
  <c r="R75" i="28"/>
  <c r="R76" i="28"/>
  <c r="R77" i="28"/>
  <c r="R78" i="28"/>
  <c r="R79" i="28"/>
  <c r="R80" i="28"/>
  <c r="R81" i="28"/>
  <c r="R82" i="28"/>
  <c r="R83" i="28"/>
  <c r="R84" i="28"/>
  <c r="R85" i="28"/>
  <c r="R86" i="28"/>
  <c r="V4" i="28"/>
  <c r="U4" i="28"/>
  <c r="T4" i="28"/>
  <c r="S4" i="28"/>
  <c r="R4" i="28"/>
  <c r="AF21" i="4"/>
  <c r="B33" i="21" s="1"/>
  <c r="AF22" i="4"/>
  <c r="B34" i="21" s="1"/>
  <c r="AF23" i="4"/>
  <c r="B35" i="21" s="1"/>
  <c r="AF24" i="4"/>
  <c r="B36" i="21" s="1"/>
  <c r="AF25" i="4"/>
  <c r="B37" i="21" s="1"/>
  <c r="AF26" i="4"/>
  <c r="B38" i="21" s="1"/>
  <c r="AF27" i="4"/>
  <c r="B39" i="21" s="1"/>
  <c r="AF28" i="4"/>
  <c r="B40" i="21" s="1"/>
  <c r="AF29" i="4"/>
  <c r="B41" i="21" s="1"/>
  <c r="AF30" i="4"/>
  <c r="B42" i="21" s="1"/>
  <c r="AF20" i="4"/>
  <c r="B32" i="21" s="1"/>
  <c r="AF19" i="4"/>
  <c r="B31" i="21" s="1"/>
  <c r="D42" i="12" l="1"/>
  <c r="D43" i="12"/>
  <c r="C41" i="12"/>
  <c r="C42" i="12"/>
  <c r="C43" i="12"/>
  <c r="C44" i="12"/>
  <c r="C45" i="12"/>
  <c r="C46" i="12"/>
  <c r="F42" i="3" l="1"/>
  <c r="F43" i="3"/>
  <c r="J28" i="27"/>
  <c r="AO6" i="4"/>
  <c r="G10" i="1" l="1"/>
  <c r="K47" i="28"/>
  <c r="T52" i="8"/>
  <c r="B38" i="27" l="1"/>
  <c r="B35" i="27"/>
  <c r="N26" i="26" l="1"/>
  <c r="N26" i="3"/>
  <c r="K4" i="3"/>
  <c r="J7" i="27" l="1"/>
  <c r="G31" i="1" l="1"/>
  <c r="G30" i="1"/>
  <c r="D18" i="2"/>
  <c r="G29" i="1"/>
  <c r="I3" i="27" l="1"/>
  <c r="G6" i="27" l="1"/>
  <c r="AN5" i="4" l="1"/>
  <c r="AR5" i="4" s="1"/>
  <c r="J6" i="26" l="1"/>
  <c r="I6" i="26"/>
  <c r="J6" i="3"/>
  <c r="I6" i="3"/>
  <c r="B67" i="21" l="1"/>
  <c r="B66" i="21"/>
  <c r="B85" i="21"/>
  <c r="B86" i="21"/>
  <c r="B87" i="21"/>
  <c r="B84" i="21"/>
  <c r="B79" i="21"/>
  <c r="B80" i="21"/>
  <c r="B81" i="21"/>
  <c r="B78" i="21"/>
  <c r="B73" i="21"/>
  <c r="B74" i="21"/>
  <c r="B75" i="21"/>
  <c r="B72" i="21"/>
  <c r="B68" i="21"/>
  <c r="B69" i="21"/>
  <c r="B64" i="21"/>
  <c r="B89" i="21"/>
  <c r="H19" i="27" l="1"/>
  <c r="B19" i="27"/>
  <c r="B20" i="27"/>
  <c r="B18" i="27"/>
  <c r="B17" i="27"/>
  <c r="G3" i="27"/>
  <c r="B48" i="27"/>
  <c r="B44" i="27"/>
  <c r="D13" i="27"/>
  <c r="B27" i="27"/>
  <c r="B24" i="27"/>
  <c r="D14" i="27"/>
  <c r="E19" i="27"/>
  <c r="E13" i="27"/>
  <c r="D20" i="27"/>
  <c r="D19" i="27"/>
  <c r="D16" i="27"/>
  <c r="B16" i="27"/>
  <c r="E16" i="27" l="1"/>
  <c r="D4" i="2" l="1"/>
  <c r="D17" i="2"/>
  <c r="E14" i="27"/>
  <c r="B14" i="27" l="1"/>
  <c r="B13" i="27"/>
  <c r="G4" i="27"/>
  <c r="T60" i="8" l="1"/>
  <c r="T59" i="8"/>
  <c r="T58" i="8"/>
  <c r="T57" i="8"/>
  <c r="T56" i="8"/>
  <c r="T55" i="8"/>
  <c r="T54" i="8"/>
  <c r="T53" i="8"/>
  <c r="T51" i="8"/>
  <c r="T50" i="8"/>
  <c r="T49" i="8"/>
  <c r="T48" i="8"/>
  <c r="T47" i="8"/>
  <c r="T46" i="8"/>
  <c r="T45" i="8"/>
  <c r="T44" i="8"/>
  <c r="T43" i="8"/>
  <c r="T42" i="8"/>
  <c r="T41" i="8"/>
  <c r="T40" i="8"/>
  <c r="T39" i="8"/>
  <c r="T38" i="8"/>
  <c r="T37" i="8"/>
  <c r="T36" i="8"/>
  <c r="T35" i="8"/>
  <c r="T34" i="8"/>
  <c r="T33" i="8"/>
  <c r="T32" i="8"/>
  <c r="T31" i="8"/>
  <c r="T30" i="8"/>
  <c r="T29" i="8"/>
  <c r="T28" i="8"/>
  <c r="T27" i="8"/>
  <c r="H7" i="12" l="1"/>
  <c r="B63" i="21" s="1"/>
  <c r="H42" i="27" l="1"/>
  <c r="H41" i="27"/>
  <c r="J22" i="27"/>
  <c r="J20" i="27"/>
  <c r="J27" i="27" l="1"/>
  <c r="J25" i="27"/>
  <c r="J24" i="27"/>
  <c r="J23" i="27"/>
  <c r="K6" i="26"/>
  <c r="K10" i="26" s="1"/>
  <c r="K6" i="3"/>
  <c r="J18" i="27" l="1"/>
  <c r="AG16" i="4"/>
  <c r="AG23" i="4"/>
  <c r="AH23" i="4" s="1"/>
  <c r="AG22" i="4"/>
  <c r="AH22" i="4" s="1"/>
  <c r="AG21" i="4"/>
  <c r="AG18" i="4"/>
  <c r="AG17" i="4"/>
  <c r="C36" i="12"/>
  <c r="C37" i="12"/>
  <c r="C38" i="12"/>
  <c r="C39" i="12"/>
  <c r="C40" i="12"/>
  <c r="C35" i="12"/>
  <c r="AF18" i="4"/>
  <c r="AF13" i="4"/>
  <c r="B25" i="21" s="1"/>
  <c r="AF14" i="4"/>
  <c r="AF15" i="4"/>
  <c r="AF16" i="4"/>
  <c r="AF17" i="4"/>
  <c r="B29" i="21" s="1"/>
  <c r="AF12" i="4"/>
  <c r="C28" i="12" s="1"/>
  <c r="AG15" i="4"/>
  <c r="AG14" i="4"/>
  <c r="AG13" i="4"/>
  <c r="AG12" i="4"/>
  <c r="P25" i="28"/>
  <c r="P24" i="28"/>
  <c r="P23" i="28"/>
  <c r="P22" i="28"/>
  <c r="AG25" i="4" s="1"/>
  <c r="D41" i="12" s="1"/>
  <c r="P21" i="28"/>
  <c r="P20" i="28"/>
  <c r="P19" i="28"/>
  <c r="K5" i="28"/>
  <c r="K6" i="28"/>
  <c r="K7" i="28"/>
  <c r="K8" i="28"/>
  <c r="K9" i="28"/>
  <c r="K10" i="28"/>
  <c r="K11" i="28"/>
  <c r="K12" i="28"/>
  <c r="K13" i="28"/>
  <c r="K14" i="28"/>
  <c r="K15" i="28"/>
  <c r="K16" i="28"/>
  <c r="K17" i="28"/>
  <c r="K18" i="28"/>
  <c r="K19" i="28"/>
  <c r="K20" i="28"/>
  <c r="K21" i="28"/>
  <c r="K22" i="28"/>
  <c r="AG20" i="4" s="1"/>
  <c r="K23" i="28"/>
  <c r="K24" i="28"/>
  <c r="K25" i="28"/>
  <c r="K26" i="28"/>
  <c r="K27" i="28"/>
  <c r="K28" i="28"/>
  <c r="K29" i="28"/>
  <c r="K30" i="28"/>
  <c r="K31" i="28"/>
  <c r="K32" i="28"/>
  <c r="K33" i="28"/>
  <c r="K34" i="28"/>
  <c r="K35" i="28"/>
  <c r="K36" i="28"/>
  <c r="K37" i="28"/>
  <c r="K38" i="28"/>
  <c r="K39" i="28"/>
  <c r="K40" i="28"/>
  <c r="K41" i="28"/>
  <c r="K42" i="28"/>
  <c r="K43" i="28"/>
  <c r="K44" i="28"/>
  <c r="K45" i="28"/>
  <c r="K46"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4" i="28"/>
  <c r="J10" i="27"/>
  <c r="J9" i="27"/>
  <c r="F56" i="26"/>
  <c r="H56" i="26" s="1"/>
  <c r="D56" i="26"/>
  <c r="F55" i="26"/>
  <c r="H55" i="26" s="1"/>
  <c r="D55" i="26"/>
  <c r="F54" i="26"/>
  <c r="H54" i="26" s="1"/>
  <c r="D54" i="26"/>
  <c r="F53" i="26"/>
  <c r="H53" i="26" s="1"/>
  <c r="D53" i="26"/>
  <c r="F52" i="26"/>
  <c r="H52" i="26" s="1"/>
  <c r="D52" i="26"/>
  <c r="D51" i="26"/>
  <c r="F51" i="26" s="1"/>
  <c r="H51" i="26" s="1"/>
  <c r="C30" i="12" l="1"/>
  <c r="B26" i="21"/>
  <c r="C31" i="12"/>
  <c r="B27" i="21"/>
  <c r="C32" i="12"/>
  <c r="B28" i="21"/>
  <c r="C34" i="12"/>
  <c r="B30" i="21"/>
  <c r="C33" i="12"/>
  <c r="AH17" i="4"/>
  <c r="C29" i="12"/>
  <c r="AH13" i="4"/>
  <c r="D45" i="12"/>
  <c r="D44" i="12"/>
  <c r="D46" i="12"/>
  <c r="AG24" i="4"/>
  <c r="AH24" i="4" s="1"/>
  <c r="AG19" i="4"/>
  <c r="AH16" i="4"/>
  <c r="D32" i="12" s="1"/>
  <c r="P13" i="4"/>
  <c r="Q58" i="4" s="1"/>
  <c r="H26" i="27" l="1"/>
  <c r="G44" i="27" l="1"/>
  <c r="J26" i="27"/>
  <c r="J21" i="27"/>
  <c r="J16" i="27"/>
  <c r="J12" i="27"/>
  <c r="J17" i="27"/>
  <c r="H18" i="27"/>
  <c r="H40" i="27"/>
  <c r="H39" i="27"/>
  <c r="H38" i="27"/>
  <c r="H37" i="27"/>
  <c r="H36" i="27"/>
  <c r="H35" i="27"/>
  <c r="H34" i="27"/>
  <c r="H32" i="27"/>
  <c r="H31" i="27"/>
  <c r="H30" i="27"/>
  <c r="G30" i="27"/>
  <c r="G16" i="27"/>
  <c r="G53" i="27"/>
  <c r="G12" i="10" l="1"/>
  <c r="F12" i="10"/>
  <c r="E12" i="10"/>
  <c r="D12" i="10"/>
  <c r="C12" i="10"/>
  <c r="B12" i="10"/>
  <c r="B10" i="10"/>
  <c r="G102" i="9"/>
  <c r="F102" i="9"/>
  <c r="L101" i="9"/>
  <c r="L100" i="9"/>
  <c r="L99" i="9"/>
  <c r="L98" i="9"/>
  <c r="K97" i="9"/>
  <c r="H97" i="9"/>
  <c r="K96" i="9"/>
  <c r="H96" i="9"/>
  <c r="L95" i="9"/>
  <c r="K94" i="9"/>
  <c r="H94" i="9"/>
  <c r="K93" i="9"/>
  <c r="L93" i="9" s="1"/>
  <c r="K92" i="9"/>
  <c r="H92" i="9"/>
  <c r="K91" i="9"/>
  <c r="L91" i="9" s="1"/>
  <c r="K90" i="9"/>
  <c r="H90" i="9"/>
  <c r="I89" i="9"/>
  <c r="K89" i="9" s="1"/>
  <c r="H89" i="9"/>
  <c r="K88" i="9"/>
  <c r="H88" i="9"/>
  <c r="J87" i="9"/>
  <c r="K87" i="9" s="1"/>
  <c r="H87" i="9"/>
  <c r="J86" i="9"/>
  <c r="K86" i="9" s="1"/>
  <c r="H86" i="9"/>
  <c r="K85" i="9"/>
  <c r="H85" i="9"/>
  <c r="K84" i="9"/>
  <c r="H84" i="9"/>
  <c r="K83" i="9"/>
  <c r="H83" i="9"/>
  <c r="K82" i="9"/>
  <c r="H82" i="9"/>
  <c r="P60" i="9"/>
  <c r="P20" i="9"/>
  <c r="P4" i="9"/>
  <c r="BK36" i="8"/>
  <c r="BJ36" i="8"/>
  <c r="BI36" i="8"/>
  <c r="BH36" i="8"/>
  <c r="BG36" i="8"/>
  <c r="BF36" i="8"/>
  <c r="BE36" i="8"/>
  <c r="BD36" i="8"/>
  <c r="D51" i="22"/>
  <c r="D50" i="22"/>
  <c r="F40" i="22" s="1"/>
  <c r="D7" i="4" s="1"/>
  <c r="D49" i="22"/>
  <c r="C47" i="22" s="1"/>
  <c r="C14" i="4" s="1"/>
  <c r="B100" i="21"/>
  <c r="B98" i="21"/>
  <c r="A98" i="21"/>
  <c r="A96" i="21"/>
  <c r="A95" i="21"/>
  <c r="A94" i="21"/>
  <c r="A93" i="21"/>
  <c r="B92" i="21"/>
  <c r="A91" i="21"/>
  <c r="A84" i="21"/>
  <c r="A78" i="21"/>
  <c r="A72" i="21"/>
  <c r="A66" i="21"/>
  <c r="A61" i="21"/>
  <c r="A60" i="21"/>
  <c r="A56" i="21"/>
  <c r="A55" i="21"/>
  <c r="A54" i="21"/>
  <c r="A53" i="21"/>
  <c r="A52" i="21"/>
  <c r="A51" i="21"/>
  <c r="A50" i="21"/>
  <c r="A47" i="21"/>
  <c r="A46" i="21"/>
  <c r="A45" i="21"/>
  <c r="A44" i="21"/>
  <c r="A43" i="21"/>
  <c r="A37" i="21"/>
  <c r="A36" i="21"/>
  <c r="A35" i="21"/>
  <c r="A34" i="21"/>
  <c r="A33" i="21"/>
  <c r="A32" i="21"/>
  <c r="A31" i="21"/>
  <c r="A30" i="21"/>
  <c r="A29" i="21"/>
  <c r="A28" i="21"/>
  <c r="A27" i="21"/>
  <c r="A25" i="21"/>
  <c r="A24" i="21"/>
  <c r="B23" i="21"/>
  <c r="A23" i="21"/>
  <c r="A22" i="21"/>
  <c r="A21" i="21"/>
  <c r="A20" i="21"/>
  <c r="A19" i="21"/>
  <c r="A17" i="21"/>
  <c r="A16" i="21"/>
  <c r="A15" i="21"/>
  <c r="A14" i="21"/>
  <c r="A13" i="21"/>
  <c r="A12" i="21"/>
  <c r="A11" i="21"/>
  <c r="A10" i="21"/>
  <c r="A8" i="21"/>
  <c r="A7" i="21"/>
  <c r="A6" i="21"/>
  <c r="A4" i="21"/>
  <c r="A3" i="21"/>
  <c r="C77" i="4"/>
  <c r="C76" i="4"/>
  <c r="I5" i="4" s="1"/>
  <c r="C75" i="4"/>
  <c r="X31" i="4" s="1"/>
  <c r="C73" i="4"/>
  <c r="C72" i="4"/>
  <c r="C69" i="4"/>
  <c r="C68" i="4"/>
  <c r="P67" i="4"/>
  <c r="C67" i="4"/>
  <c r="E38" i="22" s="1"/>
  <c r="P66" i="4"/>
  <c r="P65" i="4"/>
  <c r="P64" i="4"/>
  <c r="P63" i="4"/>
  <c r="P62" i="4"/>
  <c r="Z45" i="4"/>
  <c r="Z44" i="4"/>
  <c r="Z43" i="4"/>
  <c r="Z42" i="4"/>
  <c r="Z41" i="4"/>
  <c r="Z40" i="4"/>
  <c r="D35" i="4"/>
  <c r="C35" i="4"/>
  <c r="Z34" i="4"/>
  <c r="Z33" i="4"/>
  <c r="Z32" i="4"/>
  <c r="Z31" i="4"/>
  <c r="Z30" i="4"/>
  <c r="Z29" i="4"/>
  <c r="J21" i="4"/>
  <c r="I21" i="4"/>
  <c r="AH20" i="4"/>
  <c r="D36" i="12" s="1"/>
  <c r="Z18" i="4"/>
  <c r="F14" i="4"/>
  <c r="W13" i="4"/>
  <c r="N13" i="4"/>
  <c r="F13" i="4"/>
  <c r="B24" i="21"/>
  <c r="P12" i="4"/>
  <c r="N12" i="4"/>
  <c r="F12" i="4"/>
  <c r="P11" i="4"/>
  <c r="F11" i="4"/>
  <c r="AP10" i="4"/>
  <c r="AO10" i="4"/>
  <c r="AM10" i="4" s="1"/>
  <c r="AQ10" i="4" s="1"/>
  <c r="AN10" i="4"/>
  <c r="AR10" i="4" s="1"/>
  <c r="P10" i="4"/>
  <c r="F10" i="4"/>
  <c r="AP9" i="4"/>
  <c r="AO9" i="4"/>
  <c r="AT9" i="4" s="1"/>
  <c r="AN9" i="4"/>
  <c r="AR9" i="4" s="1"/>
  <c r="P9" i="4"/>
  <c r="N9" i="4"/>
  <c r="F9" i="4"/>
  <c r="AP8" i="4"/>
  <c r="AO8" i="4"/>
  <c r="AM8" i="4" s="1"/>
  <c r="AQ8" i="4" s="1"/>
  <c r="AN8" i="4"/>
  <c r="AR8" i="4" s="1"/>
  <c r="P8" i="4"/>
  <c r="N8" i="4"/>
  <c r="F8" i="4"/>
  <c r="AP7" i="4"/>
  <c r="AO7" i="4"/>
  <c r="AT7" i="4" s="1"/>
  <c r="AN7" i="4"/>
  <c r="AR7" i="4" s="1"/>
  <c r="P7" i="4"/>
  <c r="N7" i="4"/>
  <c r="F7" i="4"/>
  <c r="AP6" i="4"/>
  <c r="AN6" i="4"/>
  <c r="AR6" i="4" s="1"/>
  <c r="L6" i="4"/>
  <c r="I6" i="4"/>
  <c r="F6" i="4"/>
  <c r="AP5" i="4"/>
  <c r="AO5" i="4"/>
  <c r="AT5" i="4" s="1"/>
  <c r="L5" i="4"/>
  <c r="F5" i="4"/>
  <c r="H28" i="27"/>
  <c r="H25" i="27"/>
  <c r="H24" i="27"/>
  <c r="H23" i="27"/>
  <c r="H22" i="27"/>
  <c r="H21" i="27"/>
  <c r="H20" i="27"/>
  <c r="H17" i="27"/>
  <c r="H16" i="27"/>
  <c r="J14" i="27"/>
  <c r="I14" i="27"/>
  <c r="J13" i="27"/>
  <c r="I13" i="27"/>
  <c r="J11" i="27"/>
  <c r="H9" i="27"/>
  <c r="G9" i="27"/>
  <c r="G7" i="27"/>
  <c r="G2" i="27"/>
  <c r="D62" i="12"/>
  <c r="B88" i="21" s="1"/>
  <c r="D49" i="12"/>
  <c r="B44" i="21" s="1"/>
  <c r="D25" i="12"/>
  <c r="B22" i="21" s="1"/>
  <c r="D24" i="12"/>
  <c r="B21" i="21" s="1"/>
  <c r="D23" i="12"/>
  <c r="B20" i="21" s="1"/>
  <c r="D18" i="12"/>
  <c r="B17" i="21" s="1"/>
  <c r="D17" i="12"/>
  <c r="B16" i="21" s="1"/>
  <c r="D16" i="12"/>
  <c r="B15" i="21" s="1"/>
  <c r="D15" i="12"/>
  <c r="B14" i="21" s="1"/>
  <c r="D14" i="12"/>
  <c r="B13" i="21" s="1"/>
  <c r="D13" i="12"/>
  <c r="B12" i="21" s="1"/>
  <c r="D12" i="12"/>
  <c r="B11" i="21" s="1"/>
  <c r="L9" i="12"/>
  <c r="B97" i="21" s="1"/>
  <c r="D9" i="12"/>
  <c r="B8" i="21" s="1"/>
  <c r="D8" i="12"/>
  <c r="B7" i="21" s="1"/>
  <c r="D7" i="12"/>
  <c r="B6" i="21" s="1"/>
  <c r="H6" i="12"/>
  <c r="B62" i="21" s="1"/>
  <c r="D6" i="12"/>
  <c r="B5" i="21" s="1"/>
  <c r="B6" i="12"/>
  <c r="A5" i="21" s="1"/>
  <c r="H5" i="12"/>
  <c r="B61" i="21" s="1"/>
  <c r="D5" i="12"/>
  <c r="B4" i="21" s="1"/>
  <c r="E28" i="26"/>
  <c r="E27" i="26"/>
  <c r="E25" i="26"/>
  <c r="E22" i="26"/>
  <c r="J10" i="26"/>
  <c r="I10" i="26"/>
  <c r="H43" i="3"/>
  <c r="D43" i="3"/>
  <c r="H42" i="3"/>
  <c r="D42" i="3"/>
  <c r="D41" i="3"/>
  <c r="D40" i="3"/>
  <c r="D39" i="3"/>
  <c r="F39" i="3" s="1"/>
  <c r="D38" i="3"/>
  <c r="K10" i="3"/>
  <c r="J10" i="3"/>
  <c r="W11" i="4" s="1"/>
  <c r="Z23" i="4" s="1"/>
  <c r="I10" i="3"/>
  <c r="W10" i="4" s="1"/>
  <c r="D30" i="1"/>
  <c r="L92" i="9" l="1"/>
  <c r="AU8" i="4"/>
  <c r="AU10" i="4"/>
  <c r="L86" i="9"/>
  <c r="L88" i="9"/>
  <c r="F41" i="3"/>
  <c r="H41" i="3" s="1"/>
  <c r="I12" i="27"/>
  <c r="F40" i="3"/>
  <c r="H39" i="3"/>
  <c r="F38" i="3"/>
  <c r="H38" i="3" s="1"/>
  <c r="AM6" i="4"/>
  <c r="AQ6" i="4" s="1"/>
  <c r="AU6" i="4" s="1"/>
  <c r="Q21" i="4"/>
  <c r="L85" i="9"/>
  <c r="L87" i="9"/>
  <c r="L94" i="9"/>
  <c r="L97" i="9"/>
  <c r="I102" i="9"/>
  <c r="Q22" i="4"/>
  <c r="H102" i="9"/>
  <c r="L84" i="9"/>
  <c r="L90" i="9"/>
  <c r="I11" i="27"/>
  <c r="AF6" i="4"/>
  <c r="AF5" i="4"/>
  <c r="L82" i="9"/>
  <c r="J102" i="9"/>
  <c r="X34" i="4"/>
  <c r="F39" i="22"/>
  <c r="D21" i="4" s="1"/>
  <c r="P78" i="9"/>
  <c r="L83" i="9"/>
  <c r="L89" i="9"/>
  <c r="L96" i="9"/>
  <c r="AG6" i="4"/>
  <c r="K102" i="9"/>
  <c r="K5" i="3"/>
  <c r="K15" i="3" s="1"/>
  <c r="K4" i="26"/>
  <c r="K5" i="26" s="1"/>
  <c r="K15" i="26" s="1"/>
  <c r="I10" i="27"/>
  <c r="Z52" i="4"/>
  <c r="Z35" i="4"/>
  <c r="Z57" i="4"/>
  <c r="Z46" i="4"/>
  <c r="D37" i="3"/>
  <c r="D50" i="26"/>
  <c r="F50" i="26" s="1"/>
  <c r="AY11" i="4"/>
  <c r="AZ11" i="4" s="1"/>
  <c r="F20" i="26" s="1"/>
  <c r="J5" i="4"/>
  <c r="S22" i="4"/>
  <c r="J6" i="4"/>
  <c r="I43" i="4"/>
  <c r="I44" i="4" s="1"/>
  <c r="D60" i="12"/>
  <c r="B56" i="21" s="1"/>
  <c r="X30" i="4"/>
  <c r="D59" i="12"/>
  <c r="B55" i="21" s="1"/>
  <c r="T10" i="4"/>
  <c r="S43" i="4" s="1"/>
  <c r="X32" i="4"/>
  <c r="D38" i="12"/>
  <c r="T7" i="4"/>
  <c r="D33" i="12"/>
  <c r="AH18" i="4"/>
  <c r="D34" i="12" s="1"/>
  <c r="T9" i="4"/>
  <c r="T11" i="4"/>
  <c r="S44" i="4" s="1"/>
  <c r="T12" i="4"/>
  <c r="AH19" i="4"/>
  <c r="D35" i="12" s="1"/>
  <c r="K21" i="4"/>
  <c r="AH21" i="4"/>
  <c r="D37" i="12" s="1"/>
  <c r="D50" i="12"/>
  <c r="B45" i="21" s="1"/>
  <c r="T8" i="4"/>
  <c r="Z22" i="4"/>
  <c r="Z56" i="4" s="1"/>
  <c r="X22" i="4"/>
  <c r="E35" i="4"/>
  <c r="D52" i="22"/>
  <c r="AM9" i="4"/>
  <c r="AQ9" i="4" s="1"/>
  <c r="AU9" i="4" s="1"/>
  <c r="AH12" i="4"/>
  <c r="AH14" i="4"/>
  <c r="D30" i="12" s="1"/>
  <c r="C38" i="22"/>
  <c r="C5" i="4" s="1"/>
  <c r="D47" i="22"/>
  <c r="C29" i="4" s="1"/>
  <c r="D40" i="12"/>
  <c r="AH15" i="4"/>
  <c r="D31" i="12" s="1"/>
  <c r="X40" i="4"/>
  <c r="X44" i="4"/>
  <c r="X23" i="4"/>
  <c r="X42" i="4"/>
  <c r="S58" i="4"/>
  <c r="X29" i="4"/>
  <c r="X33" i="4"/>
  <c r="X18" i="4"/>
  <c r="D22" i="4"/>
  <c r="X41" i="4"/>
  <c r="X43" i="4"/>
  <c r="X45" i="4"/>
  <c r="I53" i="27"/>
  <c r="C74" i="4"/>
  <c r="AG5" i="4"/>
  <c r="AM7" i="4"/>
  <c r="S21" i="4"/>
  <c r="D38" i="22"/>
  <c r="C20" i="4" s="1"/>
  <c r="D43" i="22"/>
  <c r="C25" i="4" s="1"/>
  <c r="C44" i="22"/>
  <c r="C11" i="4" s="1"/>
  <c r="D52" i="12"/>
  <c r="B47" i="21" s="1"/>
  <c r="AM5" i="4"/>
  <c r="AQ5" i="4" s="1"/>
  <c r="AU5" i="4" s="1"/>
  <c r="AY5" i="4"/>
  <c r="AZ5" i="4" s="1"/>
  <c r="F21" i="26" s="1"/>
  <c r="R21" i="4"/>
  <c r="D39" i="12"/>
  <c r="J22" i="4"/>
  <c r="K22" i="4" s="1"/>
  <c r="I34" i="4" s="1"/>
  <c r="AT6" i="4"/>
  <c r="AT8" i="4"/>
  <c r="AT10" i="4"/>
  <c r="W22" i="4"/>
  <c r="I22" i="4"/>
  <c r="R22" i="4"/>
  <c r="D41" i="22"/>
  <c r="C23" i="4" s="1"/>
  <c r="D45" i="22"/>
  <c r="C27" i="4" s="1"/>
  <c r="D39" i="22"/>
  <c r="C21" i="4" s="1"/>
  <c r="C42" i="22"/>
  <c r="C9" i="4" s="1"/>
  <c r="C46" i="22"/>
  <c r="C13" i="4" s="1"/>
  <c r="Y22" i="4"/>
  <c r="P21" i="4"/>
  <c r="W21" i="4"/>
  <c r="Y21" i="4"/>
  <c r="P22" i="4"/>
  <c r="W58" i="4"/>
  <c r="C40" i="22"/>
  <c r="D42" i="22"/>
  <c r="C24" i="4" s="1"/>
  <c r="D44" i="22"/>
  <c r="C26" i="4" s="1"/>
  <c r="D46" i="22"/>
  <c r="C28" i="4" s="1"/>
  <c r="C39" i="22"/>
  <c r="C6" i="4" s="1"/>
  <c r="D40" i="22"/>
  <c r="C41" i="22"/>
  <c r="C8" i="4" s="1"/>
  <c r="C43" i="22"/>
  <c r="C10" i="4" s="1"/>
  <c r="C45" i="22"/>
  <c r="C12" i="4" s="1"/>
  <c r="I1" i="27"/>
  <c r="D29" i="12"/>
  <c r="R12" i="4"/>
  <c r="Q7" i="4"/>
  <c r="R8" i="4"/>
  <c r="F45" i="22"/>
  <c r="Q9" i="4"/>
  <c r="R9" i="4"/>
  <c r="Q8" i="4"/>
  <c r="Q12" i="4"/>
  <c r="R7" i="4"/>
  <c r="D28" i="12" l="1"/>
  <c r="AH31" i="4"/>
  <c r="F37" i="3"/>
  <c r="H37" i="3" s="1"/>
  <c r="H40" i="3"/>
  <c r="AQ7" i="4"/>
  <c r="AU7" i="4" s="1"/>
  <c r="E6" i="3"/>
  <c r="E10" i="3" s="1"/>
  <c r="D55" i="12" s="1"/>
  <c r="L102" i="9"/>
  <c r="AS6" i="4"/>
  <c r="AS9" i="4"/>
  <c r="AS8" i="4"/>
  <c r="AS10" i="4"/>
  <c r="H6" i="26"/>
  <c r="H10" i="26" s="1"/>
  <c r="G6" i="26"/>
  <c r="G10" i="26" s="1"/>
  <c r="F6" i="26"/>
  <c r="F10" i="26" s="1"/>
  <c r="E6" i="26"/>
  <c r="E10" i="26" s="1"/>
  <c r="G6" i="3"/>
  <c r="G10" i="3" s="1"/>
  <c r="W12" i="4" s="1"/>
  <c r="Y23" i="4" s="1"/>
  <c r="H6" i="3"/>
  <c r="H10" i="3" s="1"/>
  <c r="W9" i="4" s="1"/>
  <c r="Y42" i="4" s="1"/>
  <c r="F6" i="3"/>
  <c r="F10" i="3" s="1"/>
  <c r="W8" i="4" s="1"/>
  <c r="Z20" i="4" s="1"/>
  <c r="Z54" i="4" s="1"/>
  <c r="Q23" i="4"/>
  <c r="Q19" i="4"/>
  <c r="Q20" i="4"/>
  <c r="Q18" i="4"/>
  <c r="S19" i="4"/>
  <c r="S18" i="4"/>
  <c r="D6" i="4"/>
  <c r="S40" i="4"/>
  <c r="I9" i="27"/>
  <c r="P44" i="4"/>
  <c r="S23" i="4"/>
  <c r="R19" i="4"/>
  <c r="P19" i="4"/>
  <c r="R20" i="4"/>
  <c r="P20" i="4"/>
  <c r="R23" i="4"/>
  <c r="P23" i="4"/>
  <c r="R18" i="4"/>
  <c r="P18" i="4"/>
  <c r="S20" i="4"/>
  <c r="R45" i="4"/>
  <c r="K8" i="3"/>
  <c r="K9" i="3" s="1"/>
  <c r="K16" i="3" s="1"/>
  <c r="K17" i="3" s="1"/>
  <c r="K8" i="26"/>
  <c r="K9" i="26" s="1"/>
  <c r="K16" i="26" s="1"/>
  <c r="K17" i="26" s="1"/>
  <c r="P41" i="4"/>
  <c r="Q42" i="4"/>
  <c r="P45" i="4"/>
  <c r="AG7" i="4"/>
  <c r="N12" i="3" s="1"/>
  <c r="Q45" i="4"/>
  <c r="S45" i="4"/>
  <c r="H50" i="26"/>
  <c r="H57" i="26" s="1"/>
  <c r="F57" i="26"/>
  <c r="I7" i="4"/>
  <c r="I32" i="4" s="1"/>
  <c r="I36" i="4" s="1"/>
  <c r="F21" i="3" s="1"/>
  <c r="R42" i="4"/>
  <c r="R41" i="4"/>
  <c r="P43" i="4"/>
  <c r="P42" i="4"/>
  <c r="Y44" i="4"/>
  <c r="S41" i="4"/>
  <c r="S42" i="4"/>
  <c r="R43" i="4"/>
  <c r="W43" i="4"/>
  <c r="Y43" i="4"/>
  <c r="Q41" i="4"/>
  <c r="Q43" i="4"/>
  <c r="Q44" i="4"/>
  <c r="R40" i="4"/>
  <c r="X35" i="4"/>
  <c r="X56" i="4"/>
  <c r="Q40" i="4"/>
  <c r="P40" i="4"/>
  <c r="R44" i="4"/>
  <c r="W44" i="4"/>
  <c r="X52" i="4"/>
  <c r="D12" i="4"/>
  <c r="D27" i="4"/>
  <c r="X57" i="4"/>
  <c r="X46" i="4"/>
  <c r="I39" i="22"/>
  <c r="J39" i="22" s="1"/>
  <c r="E21" i="4" s="1"/>
  <c r="I45" i="22"/>
  <c r="J45" i="22" s="1"/>
  <c r="E27" i="4" s="1"/>
  <c r="G39" i="22"/>
  <c r="H39" i="22" s="1"/>
  <c r="E6" i="4" s="1"/>
  <c r="G45" i="22"/>
  <c r="H45" i="22" s="1"/>
  <c r="E12" i="4" s="1"/>
  <c r="C22" i="4"/>
  <c r="I40" i="22"/>
  <c r="J40" i="22" s="1"/>
  <c r="E22" i="4" s="1"/>
  <c r="C7" i="4"/>
  <c r="D51" i="12" s="1"/>
  <c r="B46" i="21" s="1"/>
  <c r="G40" i="22"/>
  <c r="H40" i="22" s="1"/>
  <c r="E7" i="4" s="1"/>
  <c r="F44" i="22"/>
  <c r="F38" i="22"/>
  <c r="F43" i="22"/>
  <c r="F42" i="22"/>
  <c r="F46" i="22"/>
  <c r="F41" i="22"/>
  <c r="F47" i="22"/>
  <c r="J33" i="26" l="1"/>
  <c r="J34" i="26" s="1"/>
  <c r="D47" i="12"/>
  <c r="D23" i="4"/>
  <c r="I41" i="22"/>
  <c r="J41" i="22" s="1"/>
  <c r="E23" i="4" s="1"/>
  <c r="D8" i="4"/>
  <c r="G41" i="22"/>
  <c r="H41" i="22" s="1"/>
  <c r="E8" i="4" s="1"/>
  <c r="F44" i="3"/>
  <c r="H44" i="3"/>
  <c r="AS7" i="4"/>
  <c r="AS5" i="4"/>
  <c r="D20" i="4"/>
  <c r="G38" i="22"/>
  <c r="H38" i="22" s="1"/>
  <c r="E5" i="4" s="1"/>
  <c r="I38" i="22"/>
  <c r="J38" i="22" s="1"/>
  <c r="E20" i="4" s="1"/>
  <c r="D5" i="4"/>
  <c r="W7" i="4"/>
  <c r="W18" i="4" s="1"/>
  <c r="B51" i="21"/>
  <c r="D57" i="12"/>
  <c r="B53" i="21" s="1"/>
  <c r="D58" i="12"/>
  <c r="B54" i="21" s="1"/>
  <c r="D56" i="12"/>
  <c r="B52" i="21" s="1"/>
  <c r="X20" i="4"/>
  <c r="X54" i="4" s="1"/>
  <c r="Y41" i="4"/>
  <c r="Q24" i="4"/>
  <c r="D10" i="4"/>
  <c r="G43" i="22"/>
  <c r="H43" i="22" s="1"/>
  <c r="E10" i="4" s="1"/>
  <c r="D25" i="4"/>
  <c r="I43" i="22"/>
  <c r="J43" i="22" s="1"/>
  <c r="E25" i="4" s="1"/>
  <c r="G42" i="22"/>
  <c r="H42" i="22" s="1"/>
  <c r="E9" i="4" s="1"/>
  <c r="D24" i="4"/>
  <c r="I42" i="22"/>
  <c r="J42" i="22" s="1"/>
  <c r="E24" i="4" s="1"/>
  <c r="D9" i="4"/>
  <c r="D11" i="4"/>
  <c r="G44" i="22"/>
  <c r="H44" i="22" s="1"/>
  <c r="E11" i="4" s="1"/>
  <c r="I44" i="22"/>
  <c r="J44" i="22" s="1"/>
  <c r="E26" i="4" s="1"/>
  <c r="D26" i="4"/>
  <c r="D14" i="4"/>
  <c r="I47" i="22"/>
  <c r="J47" i="22" s="1"/>
  <c r="E29" i="4" s="1"/>
  <c r="D29" i="4"/>
  <c r="G47" i="22"/>
  <c r="H47" i="22" s="1"/>
  <c r="E14" i="4" s="1"/>
  <c r="D28" i="4"/>
  <c r="G46" i="22"/>
  <c r="H46" i="22" s="1"/>
  <c r="E13" i="4" s="1"/>
  <c r="D13" i="4"/>
  <c r="I46" i="22"/>
  <c r="J46" i="22" s="1"/>
  <c r="E28" i="4" s="1"/>
  <c r="W19" i="4"/>
  <c r="W41" i="4"/>
  <c r="S24" i="4"/>
  <c r="Y19" i="4"/>
  <c r="P24" i="4"/>
  <c r="Y45" i="4"/>
  <c r="Z21" i="4"/>
  <c r="Z55" i="4" s="1"/>
  <c r="Y20" i="4"/>
  <c r="W23" i="4"/>
  <c r="W42" i="4"/>
  <c r="R24" i="4"/>
  <c r="W45" i="4"/>
  <c r="W20" i="4"/>
  <c r="X21" i="4"/>
  <c r="X55" i="4" s="1"/>
  <c r="H21" i="3"/>
  <c r="H22" i="3" s="1"/>
  <c r="N12" i="26"/>
  <c r="D58" i="26"/>
  <c r="H33" i="26"/>
  <c r="H34" i="26" s="1"/>
  <c r="P46" i="4"/>
  <c r="R46" i="4"/>
  <c r="N10" i="26"/>
  <c r="S46" i="4"/>
  <c r="J21" i="3"/>
  <c r="J22" i="3" s="1"/>
  <c r="Q46" i="4"/>
  <c r="N10" i="3"/>
  <c r="N8" i="26"/>
  <c r="F22" i="3"/>
  <c r="N8" i="3"/>
  <c r="D45" i="3" l="1"/>
  <c r="L6" i="12" s="1"/>
  <c r="B94" i="21" s="1"/>
  <c r="AY4" i="4"/>
  <c r="AZ4" i="4" s="1"/>
  <c r="Y40" i="4"/>
  <c r="Y46" i="4" s="1"/>
  <c r="Y18" i="4"/>
  <c r="Y24" i="4" s="1"/>
  <c r="W40" i="4"/>
  <c r="Z19" i="4"/>
  <c r="Z53" i="4" s="1"/>
  <c r="Z59" i="4" s="1"/>
  <c r="Z60" i="4" s="1"/>
  <c r="X19" i="4"/>
  <c r="X53" i="4" s="1"/>
  <c r="X59" i="4" s="1"/>
  <c r="X60" i="4" s="1"/>
  <c r="D15" i="4"/>
  <c r="D36" i="4" s="1"/>
  <c r="J48" i="22"/>
  <c r="I48" i="22"/>
  <c r="C15" i="4"/>
  <c r="C16" i="4" s="1"/>
  <c r="H48" i="22"/>
  <c r="G48" i="22"/>
  <c r="E15" i="4"/>
  <c r="E30" i="4"/>
  <c r="AY10" i="4" s="1"/>
  <c r="AY12" i="4" s="1"/>
  <c r="W24" i="4"/>
  <c r="AZ6" i="4" l="1"/>
  <c r="E21" i="26"/>
  <c r="E23" i="26" s="1"/>
  <c r="Z24" i="4"/>
  <c r="X24" i="4"/>
  <c r="W46" i="4"/>
  <c r="C36" i="4"/>
  <c r="E36" i="4" s="1"/>
  <c r="C48" i="4" s="1"/>
  <c r="AZ10" i="4"/>
  <c r="AY6" i="4"/>
  <c r="C46" i="4"/>
  <c r="E20" i="26" l="1"/>
  <c r="E29" i="26" s="1"/>
  <c r="AZ12" i="4"/>
  <c r="C50" i="4"/>
  <c r="N6" i="26" s="1"/>
  <c r="E34" i="26" l="1"/>
  <c r="E33" i="26"/>
  <c r="N6" i="3"/>
  <c r="E21" i="3"/>
  <c r="E22" i="3" l="1"/>
  <c r="AV5" i="4" l="1"/>
  <c r="S7" i="4" s="1"/>
  <c r="N14" i="26" l="1"/>
  <c r="P29" i="4"/>
  <c r="S29" i="4"/>
  <c r="R29" i="4"/>
  <c r="W29" i="4"/>
  <c r="Y29" i="4"/>
  <c r="N14" i="3"/>
  <c r="Q29" i="4"/>
  <c r="Q52" i="4" l="1"/>
  <c r="R52" i="4"/>
  <c r="W52" i="4"/>
  <c r="S52" i="4"/>
  <c r="Y52" i="4"/>
  <c r="P52" i="4"/>
  <c r="E8" i="26" l="1"/>
  <c r="E8" i="3"/>
  <c r="E4" i="26"/>
  <c r="E4" i="3"/>
  <c r="E9" i="3" l="1"/>
  <c r="E16" i="3" s="1"/>
  <c r="E5" i="3"/>
  <c r="E15" i="3" s="1"/>
  <c r="E9" i="26"/>
  <c r="E16" i="26" s="1"/>
  <c r="E5" i="26"/>
  <c r="E15" i="26" s="1"/>
  <c r="E17" i="26" l="1"/>
  <c r="E17" i="3"/>
  <c r="AV9" i="4" l="1"/>
  <c r="S11" i="4" s="1"/>
  <c r="N24" i="3" s="1"/>
  <c r="AV10" i="4"/>
  <c r="S12" i="4" s="1"/>
  <c r="AV7" i="4"/>
  <c r="S9" i="4" s="1"/>
  <c r="W31" i="4" s="1"/>
  <c r="W54" i="4" s="1"/>
  <c r="AV8" i="4"/>
  <c r="S10" i="4" s="1"/>
  <c r="N22" i="26" s="1"/>
  <c r="AV6" i="4"/>
  <c r="S8" i="4" s="1"/>
  <c r="N16" i="3" s="1"/>
  <c r="N18" i="3" l="1"/>
  <c r="Q34" i="4"/>
  <c r="Q57" i="4" s="1"/>
  <c r="G4" i="3" s="1"/>
  <c r="G5" i="3" s="1"/>
  <c r="G15" i="3" s="1"/>
  <c r="W33" i="4"/>
  <c r="W56" i="4" s="1"/>
  <c r="J8" i="3" s="1"/>
  <c r="J9" i="3" s="1"/>
  <c r="J16" i="3" s="1"/>
  <c r="H8" i="3"/>
  <c r="H9" i="3" s="1"/>
  <c r="H16" i="3" s="1"/>
  <c r="H8" i="26"/>
  <c r="H9" i="26" s="1"/>
  <c r="H16" i="26" s="1"/>
  <c r="R31" i="4"/>
  <c r="R54" i="4" s="1"/>
  <c r="R34" i="4"/>
  <c r="R57" i="4" s="1"/>
  <c r="P32" i="4"/>
  <c r="P55" i="4" s="1"/>
  <c r="S33" i="4"/>
  <c r="S56" i="4" s="1"/>
  <c r="N20" i="26"/>
  <c r="W30" i="4"/>
  <c r="Q30" i="4"/>
  <c r="Q31" i="4"/>
  <c r="Q54" i="4" s="1"/>
  <c r="Y34" i="4"/>
  <c r="Y57" i="4" s="1"/>
  <c r="R30" i="4"/>
  <c r="Y32" i="4"/>
  <c r="Y55" i="4" s="1"/>
  <c r="P33" i="4"/>
  <c r="P56" i="4" s="1"/>
  <c r="Y31" i="4"/>
  <c r="Y54" i="4" s="1"/>
  <c r="S32" i="4"/>
  <c r="S55" i="4" s="1"/>
  <c r="S31" i="4"/>
  <c r="S54" i="4" s="1"/>
  <c r="S34" i="4"/>
  <c r="S57" i="4" s="1"/>
  <c r="R33" i="4"/>
  <c r="R56" i="4" s="1"/>
  <c r="P31" i="4"/>
  <c r="P54" i="4" s="1"/>
  <c r="R32" i="4"/>
  <c r="R55" i="4" s="1"/>
  <c r="P34" i="4"/>
  <c r="P57" i="4" s="1"/>
  <c r="N16" i="26"/>
  <c r="N22" i="3"/>
  <c r="N20" i="3"/>
  <c r="N18" i="26"/>
  <c r="N24" i="26"/>
  <c r="W32" i="4"/>
  <c r="W55" i="4" s="1"/>
  <c r="W34" i="4"/>
  <c r="W57" i="4" s="1"/>
  <c r="Q32" i="4"/>
  <c r="Q55" i="4" s="1"/>
  <c r="Q33" i="4"/>
  <c r="Q56" i="4" s="1"/>
  <c r="S30" i="4"/>
  <c r="Y30" i="4"/>
  <c r="Y33" i="4"/>
  <c r="Y56" i="4" s="1"/>
  <c r="P30" i="4"/>
  <c r="J8" i="26" l="1"/>
  <c r="J9" i="26" s="1"/>
  <c r="J16" i="26" s="1"/>
  <c r="G4" i="26"/>
  <c r="G5" i="26" s="1"/>
  <c r="G15" i="26" s="1"/>
  <c r="P53" i="4"/>
  <c r="P59" i="4" s="1"/>
  <c r="P60" i="4" s="1"/>
  <c r="P36" i="4"/>
  <c r="Y53" i="4"/>
  <c r="Y59" i="4" s="1"/>
  <c r="Y60" i="4" s="1"/>
  <c r="Y35" i="4"/>
  <c r="Q53" i="4"/>
  <c r="Q59" i="4" s="1"/>
  <c r="Q60" i="4" s="1"/>
  <c r="Q36" i="4"/>
  <c r="S53" i="4"/>
  <c r="S59" i="4" s="1"/>
  <c r="S60" i="4" s="1"/>
  <c r="S36" i="4"/>
  <c r="R53" i="4"/>
  <c r="R59" i="4" s="1"/>
  <c r="R60" i="4" s="1"/>
  <c r="R36" i="4"/>
  <c r="W53" i="4"/>
  <c r="W59" i="4" s="1"/>
  <c r="G21" i="3" s="1"/>
  <c r="W35" i="4"/>
  <c r="I8" i="3"/>
  <c r="I9" i="3" s="1"/>
  <c r="I16" i="3" s="1"/>
  <c r="I8" i="26"/>
  <c r="I9" i="26" s="1"/>
  <c r="I16" i="26" s="1"/>
  <c r="F8" i="26"/>
  <c r="I4" i="3"/>
  <c r="I5" i="3" s="1"/>
  <c r="I15" i="3" s="1"/>
  <c r="I4" i="26"/>
  <c r="I5" i="26" s="1"/>
  <c r="I15" i="26" s="1"/>
  <c r="H4" i="3"/>
  <c r="H5" i="3" s="1"/>
  <c r="H15" i="3" s="1"/>
  <c r="H17" i="3" s="1"/>
  <c r="H4" i="26"/>
  <c r="H5" i="26" s="1"/>
  <c r="H15" i="26" s="1"/>
  <c r="H17" i="26" s="1"/>
  <c r="J4" i="3"/>
  <c r="J5" i="3" s="1"/>
  <c r="J15" i="3" s="1"/>
  <c r="J17" i="3" s="1"/>
  <c r="J4" i="26"/>
  <c r="J5" i="26" s="1"/>
  <c r="J15" i="26" s="1"/>
  <c r="G8" i="3"/>
  <c r="G9" i="3" s="1"/>
  <c r="G16" i="3" s="1"/>
  <c r="G17" i="3" s="1"/>
  <c r="G8" i="26"/>
  <c r="G9" i="26" s="1"/>
  <c r="G16" i="26" s="1"/>
  <c r="J17" i="26" l="1"/>
  <c r="G17" i="26"/>
  <c r="F4" i="3"/>
  <c r="F4" i="26"/>
  <c r="E38" i="26" s="1"/>
  <c r="E39" i="26" s="1"/>
  <c r="F8" i="3"/>
  <c r="F9" i="3" s="1"/>
  <c r="F16" i="3" s="1"/>
  <c r="F9" i="26"/>
  <c r="F16" i="26" s="1"/>
  <c r="G22" i="3"/>
  <c r="W60" i="4"/>
  <c r="G33" i="26"/>
  <c r="G34" i="26" s="1"/>
  <c r="I17" i="26"/>
  <c r="I17" i="3"/>
  <c r="F5" i="3" l="1"/>
  <c r="F15" i="3" s="1"/>
  <c r="E26" i="3"/>
  <c r="E27" i="3" s="1"/>
  <c r="G26" i="3" s="1"/>
  <c r="F5" i="26"/>
  <c r="F15" i="26" s="1"/>
  <c r="F17" i="26" s="1"/>
  <c r="E30" i="3"/>
  <c r="E31" i="3" s="1"/>
  <c r="F17" i="3"/>
  <c r="I21" i="3"/>
  <c r="I22" i="3" s="1"/>
  <c r="I33" i="26"/>
  <c r="I34" i="26" s="1"/>
  <c r="E42" i="26"/>
  <c r="E40" i="26"/>
  <c r="G40" i="26" s="1"/>
  <c r="H40" i="26" s="1"/>
  <c r="G38" i="26"/>
  <c r="E28" i="3" l="1"/>
  <c r="G28" i="3" s="1"/>
  <c r="H28" i="3" s="1"/>
  <c r="E33" i="3"/>
  <c r="H26" i="3"/>
  <c r="I26" i="3"/>
  <c r="I33" i="3" s="1"/>
  <c r="I38" i="26"/>
  <c r="I45" i="26" s="1"/>
  <c r="H38" i="26"/>
  <c r="E43" i="26"/>
  <c r="E45" i="26"/>
  <c r="E32" i="3"/>
  <c r="G32" i="3" s="1"/>
  <c r="H32" i="3" s="1"/>
  <c r="L5" i="12"/>
  <c r="B93" i="21" s="1"/>
  <c r="F30" i="3"/>
  <c r="G30" i="3" l="1"/>
  <c r="L8" i="12"/>
  <c r="B96" i="21" s="1"/>
  <c r="F33" i="3"/>
  <c r="E44" i="26"/>
  <c r="G44" i="26" s="1"/>
  <c r="H44" i="26" s="1"/>
  <c r="F42" i="26"/>
  <c r="F45" i="26" s="1"/>
  <c r="G42" i="26" l="1"/>
  <c r="G45" i="26" s="1"/>
  <c r="H30" i="3"/>
  <c r="G33" i="3"/>
  <c r="H42" i="26" l="1"/>
  <c r="H45" i="26" s="1"/>
  <c r="L7" i="12"/>
  <c r="B95" i="21" s="1"/>
  <c r="H3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Marianna Thomsen | Vertrieb | Deutsche Windtechnik</author>
  </authors>
  <commentList>
    <comment ref="G9" authorId="0" shapeId="0" xr:uid="{00000000-0006-0000-0000-000001000000}">
      <text>
        <r>
          <rPr>
            <b/>
            <sz val="9"/>
            <color indexed="81"/>
            <rFont val="Segoe UI"/>
            <family val="2"/>
          </rPr>
          <t>Marianna Thomsen | Vertrieb | Deutsche Windtechnik:
Please note: If this field is red, please ceck the crane costs in "Cost Calulation". These are may be too low or high for the hub height or component weight.</t>
        </r>
      </text>
    </comment>
    <comment ref="G10" authorId="0" shapeId="0" xr:uid="{00000000-0006-0000-0000-000002000000}">
      <text>
        <r>
          <rPr>
            <b/>
            <sz val="9"/>
            <color indexed="81"/>
            <rFont val="Segoe UI"/>
            <family val="2"/>
          </rPr>
          <t>Marianna Thomsen | Vertrieb | Deutsche Windtechnik:</t>
        </r>
        <r>
          <rPr>
            <sz val="9"/>
            <color indexed="81"/>
            <rFont val="Segoe UI"/>
            <family val="2"/>
          </rPr>
          <t xml:space="preserve">
</t>
        </r>
      </text>
    </comment>
    <comment ref="D17" authorId="0" shapeId="0" xr:uid="{00000000-0006-0000-0000-000003000000}">
      <text>
        <r>
          <rPr>
            <b/>
            <sz val="9"/>
            <color indexed="81"/>
            <rFont val="Segoe UI"/>
            <family val="2"/>
          </rPr>
          <t>Marianna Thomsen | Vertrieb | Deutsche Windtechnik
Please select the Individual Options for every Contract Option. The Selection is only for the Insurance costs and has no effect for the options.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Marianna Thomsen | Vertrieb | Deutsche Windtechnik</author>
  </authors>
  <commentList>
    <comment ref="I5" authorId="0" shapeId="0" xr:uid="{00000000-0006-0000-0700-000001000000}">
      <text>
        <r>
          <rPr>
            <b/>
            <sz val="9"/>
            <color indexed="81"/>
            <rFont val="Segoe UI"/>
            <family val="2"/>
          </rPr>
          <t>Marianna Thomsen | Vertrieb | Deutsche Windtechnik:</t>
        </r>
        <r>
          <rPr>
            <sz val="9"/>
            <color indexed="81"/>
            <rFont val="Segoe UI"/>
            <family val="2"/>
          </rPr>
          <t xml:space="preserve">
For foreign companies, additional costs of 8% are included</t>
        </r>
      </text>
    </comment>
    <comment ref="P18" authorId="0" shapeId="0" xr:uid="{00000000-0006-0000-0700-000002000000}">
      <text>
        <r>
          <rPr>
            <b/>
            <sz val="9"/>
            <color indexed="81"/>
            <rFont val="Segoe UI"/>
            <family val="2"/>
          </rPr>
          <t>Marianna Thomsen | Vertrieb | Deutsche Windtechnik:</t>
        </r>
        <r>
          <rPr>
            <sz val="9"/>
            <color indexed="81"/>
            <rFont val="Segoe UI"/>
            <family val="2"/>
          </rPr>
          <t xml:space="preserve">
For foreign companies, additional costs of 5% are included</t>
        </r>
      </text>
    </comment>
    <comment ref="W18" authorId="0" shapeId="0" xr:uid="{00000000-0006-0000-0700-000003000000}">
      <text>
        <r>
          <rPr>
            <b/>
            <sz val="9"/>
            <color indexed="81"/>
            <rFont val="Segoe UI"/>
            <family val="2"/>
          </rPr>
          <t>Marianna Thomsen | Vertrieb | Deutsche Windtechnik:</t>
        </r>
        <r>
          <rPr>
            <sz val="9"/>
            <color indexed="81"/>
            <rFont val="Segoe UI"/>
            <family val="2"/>
          </rPr>
          <t xml:space="preserve">
For foreign companies, additional costs of 5% are included</t>
        </r>
      </text>
    </comment>
    <comment ref="P19" authorId="0" shapeId="0" xr:uid="{00000000-0006-0000-0700-000004000000}">
      <text>
        <r>
          <rPr>
            <b/>
            <sz val="9"/>
            <color indexed="81"/>
            <rFont val="Segoe UI"/>
            <family val="2"/>
          </rPr>
          <t>Marianna Thomsen | Vertrieb | Deutsche Windtechnik:</t>
        </r>
        <r>
          <rPr>
            <sz val="9"/>
            <color indexed="81"/>
            <rFont val="Segoe UI"/>
            <family val="2"/>
          </rPr>
          <t xml:space="preserve">
For foreign companies, additional costs of 5% are included</t>
        </r>
      </text>
    </comment>
    <comment ref="W19" authorId="0" shapeId="0" xr:uid="{00000000-0006-0000-0700-000005000000}">
      <text>
        <r>
          <rPr>
            <b/>
            <sz val="9"/>
            <color indexed="81"/>
            <rFont val="Segoe UI"/>
            <family val="2"/>
          </rPr>
          <t>Marianna Thomsen | Vertrieb | Deutsche Windtechnik:</t>
        </r>
        <r>
          <rPr>
            <sz val="9"/>
            <color indexed="81"/>
            <rFont val="Segoe UI"/>
            <family val="2"/>
          </rPr>
          <t xml:space="preserve">
For foreign companies, additional costs of 5% are included</t>
        </r>
      </text>
    </comment>
    <comment ref="P20" authorId="0" shapeId="0" xr:uid="{00000000-0006-0000-0700-000006000000}">
      <text>
        <r>
          <rPr>
            <b/>
            <sz val="9"/>
            <color indexed="81"/>
            <rFont val="Segoe UI"/>
            <family val="2"/>
          </rPr>
          <t>Marianna Thomsen | Vertrieb | Deutsche Windtechnik:</t>
        </r>
        <r>
          <rPr>
            <sz val="9"/>
            <color indexed="81"/>
            <rFont val="Segoe UI"/>
            <family val="2"/>
          </rPr>
          <t xml:space="preserve">
For foreign companies, additional costs of 5% are included</t>
        </r>
      </text>
    </comment>
    <comment ref="W20" authorId="0" shapeId="0" xr:uid="{00000000-0006-0000-0700-000007000000}">
      <text>
        <r>
          <rPr>
            <b/>
            <sz val="9"/>
            <color indexed="81"/>
            <rFont val="Segoe UI"/>
            <family val="2"/>
          </rPr>
          <t>Marianna Thomsen | Vertrieb | Deutsche Windtechnik:</t>
        </r>
        <r>
          <rPr>
            <sz val="9"/>
            <color indexed="81"/>
            <rFont val="Segoe UI"/>
            <family val="2"/>
          </rPr>
          <t xml:space="preserve">
For foreign companies, additional costs of 5% are included</t>
        </r>
      </text>
    </comment>
    <comment ref="P21" authorId="0" shapeId="0" xr:uid="{00000000-0006-0000-0700-000008000000}">
      <text>
        <r>
          <rPr>
            <b/>
            <sz val="9"/>
            <color indexed="81"/>
            <rFont val="Segoe UI"/>
            <family val="2"/>
          </rPr>
          <t>Marianna Thomsen | Vertrieb | Deutsche Windtechnik:</t>
        </r>
        <r>
          <rPr>
            <sz val="9"/>
            <color indexed="81"/>
            <rFont val="Segoe UI"/>
            <family val="2"/>
          </rPr>
          <t xml:space="preserve">
For foreign companies, additional costs of 5% are included</t>
        </r>
      </text>
    </comment>
    <comment ref="W21" authorId="0" shapeId="0" xr:uid="{00000000-0006-0000-0700-000009000000}">
      <text>
        <r>
          <rPr>
            <b/>
            <sz val="9"/>
            <color indexed="81"/>
            <rFont val="Segoe UI"/>
            <family val="2"/>
          </rPr>
          <t>Marianna Thomsen | Vertrieb | Deutsche Windtechnik:</t>
        </r>
        <r>
          <rPr>
            <sz val="9"/>
            <color indexed="81"/>
            <rFont val="Segoe UI"/>
            <family val="2"/>
          </rPr>
          <t xml:space="preserve">
For foreign companies, additional costs of 5% are included</t>
        </r>
      </text>
    </comment>
    <comment ref="P22" authorId="0" shapeId="0" xr:uid="{00000000-0006-0000-0700-00000A000000}">
      <text>
        <r>
          <rPr>
            <b/>
            <sz val="9"/>
            <color indexed="81"/>
            <rFont val="Segoe UI"/>
            <family val="2"/>
          </rPr>
          <t>Marianna Thomsen | Vertrieb | Deutsche Windtechnik:</t>
        </r>
        <r>
          <rPr>
            <sz val="9"/>
            <color indexed="81"/>
            <rFont val="Segoe UI"/>
            <family val="2"/>
          </rPr>
          <t xml:space="preserve">
For foreign companies, additional costs of 5% are included</t>
        </r>
      </text>
    </comment>
    <comment ref="W22" authorId="0" shapeId="0" xr:uid="{00000000-0006-0000-0700-00000B000000}">
      <text>
        <r>
          <rPr>
            <b/>
            <sz val="9"/>
            <color indexed="81"/>
            <rFont val="Segoe UI"/>
            <family val="2"/>
          </rPr>
          <t>Marianna Thomsen | Vertrieb | Deutsche Windtechnik:</t>
        </r>
        <r>
          <rPr>
            <sz val="9"/>
            <color indexed="81"/>
            <rFont val="Segoe UI"/>
            <family val="2"/>
          </rPr>
          <t xml:space="preserve">
For foreign companies, additional costs of 5% are included</t>
        </r>
      </text>
    </comment>
    <comment ref="P23" authorId="0" shapeId="0" xr:uid="{00000000-0006-0000-0700-00000C000000}">
      <text>
        <r>
          <rPr>
            <b/>
            <sz val="9"/>
            <color indexed="81"/>
            <rFont val="Segoe UI"/>
            <family val="2"/>
          </rPr>
          <t>Marianna Thomsen | Vertrieb | Deutsche Windtechnik:</t>
        </r>
        <r>
          <rPr>
            <sz val="9"/>
            <color indexed="81"/>
            <rFont val="Segoe UI"/>
            <family val="2"/>
          </rPr>
          <t xml:space="preserve">
For foreign companies, additional costs of 5% are included</t>
        </r>
      </text>
    </comment>
    <comment ref="W23" authorId="0" shapeId="0" xr:uid="{00000000-0006-0000-0700-00000D000000}">
      <text>
        <r>
          <rPr>
            <b/>
            <sz val="9"/>
            <color indexed="81"/>
            <rFont val="Segoe UI"/>
            <family val="2"/>
          </rPr>
          <t>Marianna Thomsen | Vertrieb | Deutsche Windtechnik:</t>
        </r>
        <r>
          <rPr>
            <sz val="9"/>
            <color indexed="81"/>
            <rFont val="Segoe UI"/>
            <family val="2"/>
          </rPr>
          <t xml:space="preserve">
For foreign companies, additional costs of 5% are included</t>
        </r>
      </text>
    </comment>
    <comment ref="E30" authorId="0" shapeId="0" xr:uid="{00000000-0006-0000-0700-00000E000000}">
      <text>
        <r>
          <rPr>
            <b/>
            <sz val="9"/>
            <color indexed="81"/>
            <rFont val="Segoe UI"/>
            <family val="2"/>
          </rPr>
          <t>Marianna Thomsen | Vertrieb | Deutsche Windtechnik:</t>
        </r>
        <r>
          <rPr>
            <sz val="9"/>
            <color indexed="81"/>
            <rFont val="Segoe UI"/>
            <family val="2"/>
          </rPr>
          <t xml:space="preserve">
For foreign companies, additional costs of 8% are included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Marianna Thomsen | Vertrieb | Deutsche Windtechnik</author>
  </authors>
  <commentList>
    <comment ref="AA7" authorId="0" shapeId="0" xr:uid="{00000000-0006-0000-0800-000001000000}">
      <text>
        <r>
          <rPr>
            <b/>
            <sz val="9"/>
            <color indexed="81"/>
            <rFont val="Segoe UI"/>
            <family val="2"/>
          </rPr>
          <t>Marianna Thomsen | Vertrieb | Deutsche Windtechnik:</t>
        </r>
        <r>
          <rPr>
            <sz val="9"/>
            <color indexed="81"/>
            <rFont val="Segoe UI"/>
            <family val="2"/>
          </rPr>
          <t xml:space="preserve">
Werte müssen noch ausgewertet werden daher lückenfüller</t>
        </r>
      </text>
    </comment>
    <comment ref="O12" authorId="0" shapeId="0" xr:uid="{00000000-0006-0000-0800-000002000000}">
      <text>
        <r>
          <rPr>
            <b/>
            <sz val="9"/>
            <color indexed="81"/>
            <rFont val="Segoe UI"/>
            <family val="2"/>
          </rPr>
          <t>Marianna Thomsen | Vertrieb | Deutsche Windtechnik:</t>
        </r>
        <r>
          <rPr>
            <sz val="9"/>
            <color indexed="81"/>
            <rFont val="Segoe UI"/>
            <family val="2"/>
          </rPr>
          <t xml:space="preserve">
Anpassung durch Martin Swat 16.10.18
</t>
        </r>
      </text>
    </comment>
    <comment ref="P18" authorId="0" shapeId="0" xr:uid="{00000000-0006-0000-0800-000003000000}">
      <text>
        <r>
          <rPr>
            <b/>
            <sz val="9"/>
            <color indexed="81"/>
            <rFont val="Segoe UI"/>
            <family val="2"/>
          </rPr>
          <t>Marianna Thomsen | Vertrieb | Deutsche Windtechnik:</t>
        </r>
        <r>
          <rPr>
            <sz val="9"/>
            <color indexed="81"/>
            <rFont val="Segoe UI"/>
            <family val="2"/>
          </rPr>
          <t xml:space="preserve">
Anpassung durch Martin Swat 16.10.2018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Marianna Thomsen | Vertrieb | Deutsche Windtechnik</author>
  </authors>
  <commentList>
    <comment ref="F4" authorId="0" shapeId="0" xr:uid="{00000000-0006-0000-0900-000001000000}">
      <text>
        <r>
          <rPr>
            <b/>
            <sz val="9"/>
            <color indexed="81"/>
            <rFont val="Segoe UI"/>
            <family val="2"/>
          </rPr>
          <t>Marianna Thomsen | Vertrieb | Deutsche Windtechnik:</t>
        </r>
        <r>
          <rPr>
            <sz val="9"/>
            <color indexed="81"/>
            <rFont val="Segoe UI"/>
            <family val="2"/>
          </rPr>
          <t xml:space="preserve">
Ausgedachte werte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Marianna Thomsen | Vertrieb | Deutsche Windtechnik</author>
  </authors>
  <commentList>
    <comment ref="BZ2" authorId="0" shapeId="0" xr:uid="{00000000-0006-0000-0A00-000001000000}">
      <text>
        <r>
          <rPr>
            <b/>
            <sz val="9"/>
            <color indexed="81"/>
            <rFont val="Segoe UI"/>
            <family val="2"/>
          </rPr>
          <t>Marianna Thomsen | Vertrieb | Deutsche Windtechnik:</t>
        </r>
        <r>
          <rPr>
            <sz val="9"/>
            <color indexed="81"/>
            <rFont val="Segoe UI"/>
            <family val="2"/>
          </rPr>
          <t xml:space="preserve">
Noch keine geprüften werte vorhanden
</t>
        </r>
      </text>
    </comment>
    <comment ref="L4" authorId="0" shapeId="0" xr:uid="{00000000-0006-0000-0A00-000002000000}">
      <text>
        <r>
          <rPr>
            <b/>
            <sz val="9"/>
            <color indexed="81"/>
            <rFont val="Segoe UI"/>
            <family val="2"/>
          </rPr>
          <t>Marianna Thomsen | Vertrieb | Deutsche Windtechnik:</t>
        </r>
        <r>
          <rPr>
            <sz val="9"/>
            <color indexed="81"/>
            <rFont val="Segoe UI"/>
            <family val="2"/>
          </rPr>
          <t xml:space="preserve">
Noch keine geprüften werte vorhanden
</t>
        </r>
      </text>
    </comment>
    <comment ref="T5" authorId="0" shapeId="0" xr:uid="{00000000-0006-0000-0A00-000003000000}">
      <text>
        <r>
          <rPr>
            <b/>
            <sz val="9"/>
            <color indexed="81"/>
            <rFont val="Segoe UI"/>
            <family val="2"/>
          </rPr>
          <t>Marianna Thomsen | Vertrieb | Deutsche Windtechnik:</t>
        </r>
        <r>
          <rPr>
            <sz val="9"/>
            <color indexed="81"/>
            <rFont val="Segoe UI"/>
            <family val="2"/>
          </rPr>
          <t xml:space="preserve">
Bei 500 Anlagen findet 1 Blattaustausch im Jahr statt, der durchschnittlich 350000€ kostet
Hinzu kommen 1750 Euro für die Instandhaltung pro Jahr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Marianna Thomsen | Vertrieb | Deutsche Windtechnik</author>
  </authors>
  <commentList>
    <comment ref="C4" authorId="0" shapeId="0" xr:uid="{00000000-0006-0000-0B00-000001000000}">
      <text>
        <r>
          <rPr>
            <b/>
            <sz val="9"/>
            <color indexed="81"/>
            <rFont val="Segoe UI"/>
            <family val="2"/>
          </rPr>
          <t>Marianna Thomsen | Vertrieb | Deutsche Windtechnik:</t>
        </r>
        <r>
          <rPr>
            <sz val="9"/>
            <color indexed="81"/>
            <rFont val="Segoe UI"/>
            <family val="2"/>
          </rPr>
          <t xml:space="preserve">
Auswertung von Jörg 22.10.18</t>
        </r>
      </text>
    </comment>
    <comment ref="I4" authorId="0" shapeId="0" xr:uid="{00000000-0006-0000-0B00-000002000000}">
      <text>
        <r>
          <rPr>
            <b/>
            <sz val="9"/>
            <color indexed="81"/>
            <rFont val="Segoe UI"/>
            <family val="2"/>
          </rPr>
          <t xml:space="preserve">Marianna Thomsen | Vertrieb | Deutsche Windtechnik
Inspection 5x im BJ--&gt; 1000€*5/20=250€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Marianna Thomsen | Vertrieb | Deutsche Windtechnik</author>
  </authors>
  <commentList>
    <comment ref="B4" authorId="0" shapeId="0" xr:uid="{00000000-0006-0000-0D00-000001000000}">
      <text>
        <r>
          <rPr>
            <b/>
            <sz val="9"/>
            <color indexed="81"/>
            <rFont val="Segoe UI"/>
            <family val="2"/>
          </rPr>
          <t>Marianna Thomsen | Vertrieb | Deutsche Windtechnik:</t>
        </r>
        <r>
          <rPr>
            <sz val="9"/>
            <color indexed="81"/>
            <rFont val="Segoe UI"/>
            <family val="2"/>
          </rPr>
          <t xml:space="preserve">
Von Christian</t>
        </r>
      </text>
    </comment>
    <comment ref="B6" authorId="0" shapeId="0" xr:uid="{00000000-0006-0000-0D00-000002000000}">
      <text>
        <r>
          <rPr>
            <b/>
            <sz val="9"/>
            <color indexed="81"/>
            <rFont val="Segoe UI"/>
            <family val="2"/>
          </rPr>
          <t>Marianna Thomsen | Vertrieb | Deutsche Windtechnik:</t>
        </r>
        <r>
          <rPr>
            <sz val="9"/>
            <color indexed="81"/>
            <rFont val="Segoe UI"/>
            <family val="2"/>
          </rPr>
          <t xml:space="preserve">
Email Hristo 02.10.18
</t>
        </r>
      </text>
    </comment>
    <comment ref="B7" authorId="0" shapeId="0" xr:uid="{00000000-0006-0000-0D00-000003000000}">
      <text>
        <r>
          <rPr>
            <b/>
            <sz val="9"/>
            <color indexed="81"/>
            <rFont val="Segoe UI"/>
            <family val="2"/>
          </rPr>
          <t>Marianna Thomsen | Vertrieb | Deutsche Windtechnik:</t>
        </r>
        <r>
          <rPr>
            <sz val="9"/>
            <color indexed="81"/>
            <rFont val="Segoe UI"/>
            <family val="2"/>
          </rPr>
          <t xml:space="preserve">
Email von Hristo 02.10.2018</t>
        </r>
      </text>
    </comment>
    <comment ref="B8" authorId="0" shapeId="0" xr:uid="{00000000-0006-0000-0D00-000004000000}">
      <text>
        <r>
          <rPr>
            <b/>
            <sz val="9"/>
            <color indexed="81"/>
            <rFont val="Segoe UI"/>
            <family val="2"/>
          </rPr>
          <t>Marianna Thomsen | Vertrieb | Deutsche Windtechnik:</t>
        </r>
        <r>
          <rPr>
            <sz val="9"/>
            <color indexed="81"/>
            <rFont val="Segoe UI"/>
            <family val="2"/>
          </rPr>
          <t xml:space="preserve">
Email von Hristo 02.10.2018</t>
        </r>
      </text>
    </comment>
    <comment ref="B9" authorId="0" shapeId="0" xr:uid="{00000000-0006-0000-0D00-000005000000}">
      <text>
        <r>
          <rPr>
            <b/>
            <sz val="9"/>
            <color indexed="81"/>
            <rFont val="Segoe UI"/>
            <family val="2"/>
          </rPr>
          <t>Marianna Thomsen | Vertrieb | Deutsche Windtechnik:</t>
        </r>
        <r>
          <rPr>
            <sz val="9"/>
            <color indexed="81"/>
            <rFont val="Segoe UI"/>
            <family val="2"/>
          </rPr>
          <t xml:space="preserve">
Mail von Hristo 11.11.18
</t>
        </r>
      </text>
    </comment>
    <comment ref="E9" authorId="0" shapeId="0" xr:uid="{00000000-0006-0000-0D00-000006000000}">
      <text>
        <r>
          <rPr>
            <b/>
            <sz val="9"/>
            <color indexed="81"/>
            <rFont val="Segoe UI"/>
            <family val="2"/>
          </rPr>
          <t>Marianna Thomsen | Vertrieb | Deutsche Windtechnik:</t>
        </r>
        <r>
          <rPr>
            <sz val="9"/>
            <color indexed="81"/>
            <rFont val="Segoe UI"/>
            <family val="2"/>
          </rPr>
          <t xml:space="preserve">
Email Hristo 30.08.18
10000 Operational Leasing +210000/7 ( Tools for 1 service can div. 7 year
</t>
        </r>
      </text>
    </comment>
    <comment ref="B10" authorId="0" shapeId="0" xr:uid="{00000000-0006-0000-0D00-000007000000}">
      <text>
        <r>
          <rPr>
            <b/>
            <sz val="9"/>
            <color indexed="81"/>
            <rFont val="Segoe UI"/>
            <family val="2"/>
          </rPr>
          <t>Marianna Thomsen | Vertrieb | Deutsche Windtechnik:</t>
        </r>
        <r>
          <rPr>
            <sz val="9"/>
            <color indexed="81"/>
            <rFont val="Segoe UI"/>
            <family val="2"/>
          </rPr>
          <t xml:space="preserve">
Email von Hristo 02.10.2018</t>
        </r>
      </text>
    </comment>
  </commentList>
</comments>
</file>

<file path=xl/sharedStrings.xml><?xml version="1.0" encoding="utf-8"?>
<sst xmlns="http://schemas.openxmlformats.org/spreadsheetml/2006/main" count="3877" uniqueCount="815">
  <si>
    <t>Customer</t>
  </si>
  <si>
    <t>Name:</t>
  </si>
  <si>
    <t>Language:</t>
  </si>
  <si>
    <t>Englisch</t>
  </si>
  <si>
    <t>Adress Street, House Number:</t>
  </si>
  <si>
    <t>Phone.:</t>
  </si>
  <si>
    <t>Postal Code, City:</t>
  </si>
  <si>
    <t>Email:</t>
  </si>
  <si>
    <t>Windfarm</t>
  </si>
  <si>
    <t>Ostenfeld</t>
  </si>
  <si>
    <t>Country:</t>
  </si>
  <si>
    <t>Germany</t>
  </si>
  <si>
    <t>Lattice Tower</t>
  </si>
  <si>
    <t>Amount of WTG:</t>
  </si>
  <si>
    <t>Commissioning Date:</t>
  </si>
  <si>
    <t>Yes</t>
  </si>
  <si>
    <t>Contract + Options</t>
  </si>
  <si>
    <t>VWmGK</t>
  </si>
  <si>
    <t>No</t>
  </si>
  <si>
    <t>Duration [years]:</t>
  </si>
  <si>
    <t>Calculation</t>
  </si>
  <si>
    <t>Author:</t>
  </si>
  <si>
    <t>Company:</t>
  </si>
  <si>
    <t>Service</t>
  </si>
  <si>
    <t>Remarks</t>
  </si>
  <si>
    <t>1)</t>
  </si>
  <si>
    <t>2)</t>
  </si>
  <si>
    <t>3)</t>
  </si>
  <si>
    <t>Author</t>
  </si>
  <si>
    <t>Email</t>
  </si>
  <si>
    <t>Phone</t>
  </si>
  <si>
    <t>Company</t>
  </si>
  <si>
    <t>Country</t>
  </si>
  <si>
    <t>Service Technican Rate</t>
  </si>
  <si>
    <t>Jörg Fuchs  </t>
  </si>
  <si>
    <t xml:space="preserve"> j.fuchs@deutsche-windtechnik.com </t>
  </si>
  <si>
    <t>Austria</t>
  </si>
  <si>
    <t>Jasper Salzwedel </t>
  </si>
  <si>
    <t xml:space="preserve"> j.salzwedel@deutsche-windtechnik.com </t>
  </si>
  <si>
    <t>+49 172 57 62 91 1</t>
  </si>
  <si>
    <t>Belgium</t>
  </si>
  <si>
    <t xml:space="preserve">Mohamed Metahri        </t>
  </si>
  <si>
    <t xml:space="preserve"> m.metahri@deutsche-windtechnik.com    </t>
  </si>
  <si>
    <t>+49 174 93 90 07 8   </t>
  </si>
  <si>
    <t>France</t>
  </si>
  <si>
    <t>Boy Kliemann</t>
  </si>
  <si>
    <t>B.Kliemann@deutsche-windtechnik.com</t>
  </si>
  <si>
    <t>+49 151 46 50 29 80</t>
  </si>
  <si>
    <t>Hanns Schütz</t>
  </si>
  <si>
    <t xml:space="preserve"> H.Schuetz@deutsche-windtechnik.com</t>
  </si>
  <si>
    <t xml:space="preserve"> +49 151 54 40 33 65</t>
  </si>
  <si>
    <t>Netherlands</t>
  </si>
  <si>
    <t>Melf Lorenzen  </t>
  </si>
  <si>
    <t xml:space="preserve"> Melf.Lorenzen@deutsche-windtechnik.com </t>
  </si>
  <si>
    <t>+1 832 274 2670</t>
  </si>
  <si>
    <t>Poland</t>
  </si>
  <si>
    <t>Hristoslav Pavlov</t>
  </si>
  <si>
    <t>H.Pavlov@deutsche-windtechnik.com</t>
  </si>
  <si>
    <t>+49 151 54 40 33 52</t>
  </si>
  <si>
    <t>Spain</t>
  </si>
  <si>
    <t>Christian Winkenjohann </t>
  </si>
  <si>
    <t xml:space="preserve"> C.Winkenjohann@deutsche-windtechnik.com</t>
  </si>
  <si>
    <t>+49 151 19 53 67 60</t>
  </si>
  <si>
    <t>Sweden</t>
  </si>
  <si>
    <t>William O’Donnel</t>
  </si>
  <si>
    <t>W.odonnell@deutsche-windtechnik.com</t>
  </si>
  <si>
    <t xml:space="preserve"> +44 7496 950 409</t>
  </si>
  <si>
    <t>UK</t>
  </si>
  <si>
    <t>USA</t>
  </si>
  <si>
    <t>Wojciech Luzniak </t>
  </si>
  <si>
    <t xml:space="preserve"> W.Luzniak@deutsche-windtechnik.com  </t>
  </si>
  <si>
    <t xml:space="preserve"> +48 505 975 567</t>
  </si>
  <si>
    <t>Monika Niesporek</t>
  </si>
  <si>
    <t>M.Niesporek@deutsche-windtechnik.com</t>
  </si>
  <si>
    <t>+46 70 303 29 30</t>
  </si>
  <si>
    <t>Geert Timmers</t>
  </si>
  <si>
    <t>G.Timmers@deutsche-windtechnik.com     </t>
  </si>
  <si>
    <t>+31 613 781 669</t>
  </si>
  <si>
    <t>O+C</t>
  </si>
  <si>
    <t>Tower</t>
  </si>
  <si>
    <t>Yes/No</t>
  </si>
  <si>
    <t>Contract</t>
  </si>
  <si>
    <t>Availability</t>
  </si>
  <si>
    <t>Availability Method</t>
  </si>
  <si>
    <t>Language</t>
  </si>
  <si>
    <t>Basic</t>
  </si>
  <si>
    <t>none</t>
  </si>
  <si>
    <t>time based</t>
  </si>
  <si>
    <t>German</t>
  </si>
  <si>
    <t>Tabular Tower</t>
  </si>
  <si>
    <t>energy based</t>
  </si>
  <si>
    <t>VWoGK</t>
  </si>
  <si>
    <t>Gearbox:</t>
  </si>
  <si>
    <t>Generator:</t>
  </si>
  <si>
    <t>Transformer:</t>
  </si>
  <si>
    <t>Blade Bearing:</t>
  </si>
  <si>
    <t>Yaw Gearbox:</t>
  </si>
  <si>
    <t>NEGMICON</t>
  </si>
  <si>
    <t>NM48/750</t>
  </si>
  <si>
    <t>NM52/900</t>
  </si>
  <si>
    <t>NM60/1000</t>
  </si>
  <si>
    <t>NM64c/1500</t>
  </si>
  <si>
    <t>NM72</t>
  </si>
  <si>
    <t>NM82</t>
  </si>
  <si>
    <t>Schuler</t>
  </si>
  <si>
    <t>SDD 100-2.7 MW</t>
  </si>
  <si>
    <t>Siemens</t>
  </si>
  <si>
    <t>AN Bonus 1000</t>
  </si>
  <si>
    <t>AN Bonus 1300</t>
  </si>
  <si>
    <t>AN Bonus 300</t>
  </si>
  <si>
    <t>AN Bonus 450</t>
  </si>
  <si>
    <t>AN Bonus 600</t>
  </si>
  <si>
    <t>SWT-2.3-82 (CS)</t>
  </si>
  <si>
    <t>SWT-2.3-93 VS</t>
  </si>
  <si>
    <t>Vestas</t>
  </si>
  <si>
    <t>V52-850</t>
  </si>
  <si>
    <t>V66-1.65 RCC</t>
  </si>
  <si>
    <t>V66-1.75 VCS</t>
  </si>
  <si>
    <t>V80-2.0 Mk1 - 5</t>
  </si>
  <si>
    <t>V90-2.0 Mk1 - 5</t>
  </si>
  <si>
    <t>V90-2.0 Mk7</t>
  </si>
  <si>
    <t>V90-2.0 Mk8</t>
  </si>
  <si>
    <t>Senvion</t>
  </si>
  <si>
    <t>3.2M114</t>
  </si>
  <si>
    <t>3.4M104</t>
  </si>
  <si>
    <t>3.4M122</t>
  </si>
  <si>
    <t>3.4M140</t>
  </si>
  <si>
    <t>3.6M114</t>
  </si>
  <si>
    <t>3.2M122</t>
  </si>
  <si>
    <t>3.6M140</t>
  </si>
  <si>
    <t>Fuhrländer</t>
  </si>
  <si>
    <t>FL2500/100</t>
  </si>
  <si>
    <t>FL2500/104</t>
  </si>
  <si>
    <t>FL2500/80</t>
  </si>
  <si>
    <t>FL2500/90</t>
  </si>
  <si>
    <t>FL70</t>
  </si>
  <si>
    <t>FL77</t>
  </si>
  <si>
    <t>MD70</t>
  </si>
  <si>
    <t>MD77</t>
  </si>
  <si>
    <t>MM100</t>
  </si>
  <si>
    <t>MM82</t>
  </si>
  <si>
    <t>MM92</t>
  </si>
  <si>
    <t>Nordex</t>
  </si>
  <si>
    <t>N100</t>
  </si>
  <si>
    <t>N117/2400</t>
  </si>
  <si>
    <t>N117/3000</t>
  </si>
  <si>
    <t>N60</t>
  </si>
  <si>
    <t>N80</t>
  </si>
  <si>
    <t>N90/2300</t>
  </si>
  <si>
    <t>N90/2500</t>
  </si>
  <si>
    <t>S70</t>
  </si>
  <si>
    <t>S77</t>
  </si>
  <si>
    <t>N131/3000</t>
  </si>
  <si>
    <t>N131/3300</t>
  </si>
  <si>
    <t>N131/3600</t>
  </si>
  <si>
    <t>Main Components</t>
  </si>
  <si>
    <t>Scheduled Maintenance</t>
  </si>
  <si>
    <t>Material</t>
  </si>
  <si>
    <t>Manhours</t>
  </si>
  <si>
    <t>Costs</t>
  </si>
  <si>
    <t>Typ 1</t>
  </si>
  <si>
    <t>Typ 2</t>
  </si>
  <si>
    <t>Typ 3</t>
  </si>
  <si>
    <t>Total Yearly Costs</t>
  </si>
  <si>
    <t>Personal Costs</t>
  </si>
  <si>
    <t>Frequency</t>
  </si>
  <si>
    <t>Typ</t>
  </si>
  <si>
    <t>Material Costs</t>
  </si>
  <si>
    <t>Average Driving</t>
  </si>
  <si>
    <t>Kilometer</t>
  </si>
  <si>
    <t>Summary Maintenance</t>
  </si>
  <si>
    <t>Maintenance</t>
  </si>
  <si>
    <t>Additional Maintenance</t>
  </si>
  <si>
    <t>Driving Expense</t>
  </si>
  <si>
    <t>Remote Control</t>
  </si>
  <si>
    <t>Unscheduled Maintenance</t>
  </si>
  <si>
    <t xml:space="preserve">Manhours </t>
  </si>
  <si>
    <t>Summary Unschedueld Maintenance</t>
  </si>
  <si>
    <t>Multiplicator</t>
  </si>
  <si>
    <t>Main Component</t>
  </si>
  <si>
    <t>Gearbox</t>
  </si>
  <si>
    <t>Generator</t>
  </si>
  <si>
    <t>Transformer</t>
  </si>
  <si>
    <t>Component Costs</t>
  </si>
  <si>
    <t>average case</t>
  </si>
  <si>
    <t>Crane Costs</t>
  </si>
  <si>
    <t>Assamblycosts (Manhours)</t>
  </si>
  <si>
    <t>Model</t>
  </si>
  <si>
    <t>Hersteller</t>
  </si>
  <si>
    <t>Man hours per year</t>
  </si>
  <si>
    <t>Material Costs per Year</t>
  </si>
  <si>
    <t>Material Costs Main Component</t>
  </si>
  <si>
    <t>Blade Bearing</t>
  </si>
  <si>
    <t>Yaw Gearbox</t>
  </si>
  <si>
    <t>Main Bearing &amp; Shaft</t>
  </si>
  <si>
    <t>Man hours Main Component</t>
  </si>
  <si>
    <t>Wälzlagertausch</t>
  </si>
  <si>
    <t>Blumenhagen</t>
  </si>
  <si>
    <t>N/A</t>
  </si>
  <si>
    <t>Generatorlagerschaden</t>
  </si>
  <si>
    <t>RE70284</t>
  </si>
  <si>
    <t>Gembeck</t>
  </si>
  <si>
    <t>Geno defekt</t>
  </si>
  <si>
    <t>Premslin</t>
  </si>
  <si>
    <t>Trafotausch</t>
  </si>
  <si>
    <t>Wallmersbach</t>
  </si>
  <si>
    <t>Netzschütz wurde durch defekten Schleifring zerstört</t>
  </si>
  <si>
    <t>Lampaden</t>
  </si>
  <si>
    <t>Trafotausch u. Mittelspannungskabel</t>
  </si>
  <si>
    <t>RE70570</t>
  </si>
  <si>
    <t>Laakdal</t>
  </si>
  <si>
    <t>Generatorschaden</t>
  </si>
  <si>
    <t>NX70455</t>
  </si>
  <si>
    <t>Kalsow</t>
  </si>
  <si>
    <t>FL584
FL803</t>
  </si>
  <si>
    <t>SPDM I+II</t>
  </si>
  <si>
    <t>Trafo defekt</t>
  </si>
  <si>
    <t>RE70079</t>
  </si>
  <si>
    <t>Großvargula</t>
  </si>
  <si>
    <t>defekte Parkverkabelung</t>
  </si>
  <si>
    <t>WP</t>
  </si>
  <si>
    <t>Dörrenzimmern</t>
  </si>
  <si>
    <t>Austausch Lager HSS und der schnellen Welle</t>
  </si>
  <si>
    <t>Momerstroff</t>
  </si>
  <si>
    <t>Getriebeschaden / mind. Zwischenwelle Genoseitig Lager Riss im Innenring</t>
  </si>
  <si>
    <t>Meitze-Wedemark</t>
  </si>
  <si>
    <t>Generatorlager</t>
  </si>
  <si>
    <t>FL574</t>
  </si>
  <si>
    <t>Netzteil AEG defekt Pitchumbau</t>
  </si>
  <si>
    <t>Generatorschleifringtausch</t>
  </si>
  <si>
    <t>SPDM I</t>
  </si>
  <si>
    <t>Prozentuale Entschädigung Versicherung</t>
  </si>
  <si>
    <t>Entschädigung Versicherung GESAMT</t>
  </si>
  <si>
    <t>Entschädigung Versicherung BU</t>
  </si>
  <si>
    <t>Entschädigung Versicherung MA</t>
  </si>
  <si>
    <t>angezeigte 
Summe GESAMT</t>
  </si>
  <si>
    <t>angezeigte Summe
BU*</t>
  </si>
  <si>
    <t>angezeigte Summe
MA</t>
  </si>
  <si>
    <t>Selbstbehalt
MA</t>
  </si>
  <si>
    <t>Schaden</t>
  </si>
  <si>
    <t>Datum Ausfall</t>
  </si>
  <si>
    <t>Anlagen-nummer</t>
  </si>
  <si>
    <t>Windpark</t>
  </si>
  <si>
    <t>Jahr</t>
  </si>
  <si>
    <t>Getriebe</t>
  </si>
  <si>
    <t>Langenrieth</t>
  </si>
  <si>
    <t>14035247 + 14038520 + 14038087</t>
  </si>
  <si>
    <t>MA175905787</t>
  </si>
  <si>
    <t>Boldecker</t>
  </si>
  <si>
    <t>14046933 + 14048507</t>
  </si>
  <si>
    <t>MA175905786</t>
  </si>
  <si>
    <t>Geno</t>
  </si>
  <si>
    <t>Extertal</t>
  </si>
  <si>
    <t>14050959 + 14051313 + 14051314</t>
  </si>
  <si>
    <t>MA175905535</t>
  </si>
  <si>
    <t>Reichenbach-Steegen</t>
  </si>
  <si>
    <t>14042397 + 14047643 + 14046511</t>
  </si>
  <si>
    <t>MA175905119</t>
  </si>
  <si>
    <t>Großenehrich</t>
  </si>
  <si>
    <t>14042987 + 14043061</t>
  </si>
  <si>
    <t>MA175905116</t>
  </si>
  <si>
    <t>Gummarsasen</t>
  </si>
  <si>
    <t>14040514 + 14041577</t>
  </si>
  <si>
    <t>MA175905067</t>
  </si>
  <si>
    <t>Blattlager</t>
  </si>
  <si>
    <t>Krummensee</t>
  </si>
  <si>
    <t>14043763 + 14045238 + 14045239</t>
  </si>
  <si>
    <t>MA175905070</t>
  </si>
  <si>
    <t>Dassensen</t>
  </si>
  <si>
    <t>14036152 + 14036183</t>
  </si>
  <si>
    <t>MA175901965</t>
  </si>
  <si>
    <t>Wriezener</t>
  </si>
  <si>
    <t>14047336 + 14047341</t>
  </si>
  <si>
    <t>MA175904912</t>
  </si>
  <si>
    <t>Langwedel</t>
  </si>
  <si>
    <t>14049401 + 14051384</t>
  </si>
  <si>
    <t>MA175904911</t>
  </si>
  <si>
    <t>Kutzleben</t>
  </si>
  <si>
    <t>14038640 + 14039350</t>
  </si>
  <si>
    <t>MA175904256</t>
  </si>
  <si>
    <t>Ahrensbök</t>
  </si>
  <si>
    <t>14038519 + 14039177</t>
  </si>
  <si>
    <t>MA175904258</t>
  </si>
  <si>
    <t>Rehfeld</t>
  </si>
  <si>
    <t>14043437 + 14043654</t>
  </si>
  <si>
    <t>MA175904260</t>
  </si>
  <si>
    <t>Dobberkau</t>
  </si>
  <si>
    <t>14034710 + 14037290</t>
  </si>
  <si>
    <t>MA175904253</t>
  </si>
  <si>
    <t>Elsterwerda</t>
  </si>
  <si>
    <t>14035834 + 14035898 + 14035899</t>
  </si>
  <si>
    <t>MA175904207</t>
  </si>
  <si>
    <t>Farnstädt</t>
  </si>
  <si>
    <t>14037375 + 14038058</t>
  </si>
  <si>
    <t>MA175904254</t>
  </si>
  <si>
    <t>Trafo</t>
  </si>
  <si>
    <t>Mücklingen</t>
  </si>
  <si>
    <t>14037926 + 14038034 + 14039352</t>
  </si>
  <si>
    <t>MA175901963</t>
  </si>
  <si>
    <t>Biere</t>
  </si>
  <si>
    <t>14031113 + 14031538</t>
  </si>
  <si>
    <t>MA175901128</t>
  </si>
  <si>
    <t>Ø Ersattung:</t>
  </si>
  <si>
    <t>Anteil Erstattung:</t>
  </si>
  <si>
    <t>Kosten Gesamt</t>
  </si>
  <si>
    <t>Ersattung in %</t>
  </si>
  <si>
    <t>Erstattungen Gesamt</t>
  </si>
  <si>
    <t>Schadenszahlung BU</t>
  </si>
  <si>
    <t>Schadenszahlung Sach</t>
  </si>
  <si>
    <t>Schadentag</t>
  </si>
  <si>
    <t>Komponente</t>
  </si>
  <si>
    <t>Schadenort</t>
  </si>
  <si>
    <t>Selbstbeteiligung</t>
  </si>
  <si>
    <t>Sonstige Abzüge</t>
  </si>
  <si>
    <t>Schadenshöhe</t>
  </si>
  <si>
    <t>Auftragsnr.:</t>
  </si>
  <si>
    <t>Schadensnummer</t>
  </si>
  <si>
    <t>14019054 + 14020399</t>
  </si>
  <si>
    <t>MA165906853</t>
  </si>
  <si>
    <t>Rehhorst</t>
  </si>
  <si>
    <t>14030366 + 14037536 + 14033502 + 14031521</t>
  </si>
  <si>
    <t>MA165906889</t>
  </si>
  <si>
    <t>Mildenberg</t>
  </si>
  <si>
    <t>14015862 + 14020768</t>
  </si>
  <si>
    <t>MA165905819</t>
  </si>
  <si>
    <t>Asendorfer</t>
  </si>
  <si>
    <t>14020933 + 14022032</t>
  </si>
  <si>
    <t>MA165906728</t>
  </si>
  <si>
    <t>14024831 + 14028641</t>
  </si>
  <si>
    <t>MA165906833</t>
  </si>
  <si>
    <t>Hangelberg</t>
  </si>
  <si>
    <t>14026867 + 14027389</t>
  </si>
  <si>
    <t>MA165906849</t>
  </si>
  <si>
    <t>14026171 + 14027805</t>
  </si>
  <si>
    <t>MA165906847</t>
  </si>
  <si>
    <t>1369068 + 14024695</t>
  </si>
  <si>
    <t>MA165906823</t>
  </si>
  <si>
    <t>Hauptlager</t>
  </si>
  <si>
    <t>14023478 + 14024137</t>
  </si>
  <si>
    <t>MA165906726</t>
  </si>
  <si>
    <t>Brake</t>
  </si>
  <si>
    <t>14025185 + 14026492</t>
  </si>
  <si>
    <t>MA165906722</t>
  </si>
  <si>
    <t>14018030 + 14018213</t>
  </si>
  <si>
    <t>MA165906645</t>
  </si>
  <si>
    <t>Tralau</t>
  </si>
  <si>
    <t>14021524 + 14021703</t>
  </si>
  <si>
    <t>MA165906643</t>
  </si>
  <si>
    <t>Rotorblatt</t>
  </si>
  <si>
    <t>14027786 + 14025585 + ?? (über Reko 17511392)</t>
  </si>
  <si>
    <t>MA165906076</t>
  </si>
  <si>
    <t>14019976 + 14020400</t>
  </si>
  <si>
    <t>MA165906071</t>
  </si>
  <si>
    <t>14009269 + 14012955 + 14015351</t>
  </si>
  <si>
    <t>MA165900382</t>
  </si>
  <si>
    <t>MA165905421</t>
  </si>
  <si>
    <t>Rosenthal</t>
  </si>
  <si>
    <t>MA165905310</t>
  </si>
  <si>
    <t>Land</t>
  </si>
  <si>
    <t>MA165905308</t>
  </si>
  <si>
    <t>Dahlenburg</t>
  </si>
  <si>
    <t>14018404 + 14019502</t>
  </si>
  <si>
    <t>MA165905306</t>
  </si>
  <si>
    <t>14018356 + 14019500</t>
  </si>
  <si>
    <t>MA165905304</t>
  </si>
  <si>
    <t>14015170 + 14016056</t>
  </si>
  <si>
    <t>MA165904628</t>
  </si>
  <si>
    <t>Damme</t>
  </si>
  <si>
    <t>14016605 + 14017576 + 14017998</t>
  </si>
  <si>
    <t>MA165904592</t>
  </si>
  <si>
    <t>14015899 + 14017574 + 14017997</t>
  </si>
  <si>
    <t>MA165904589</t>
  </si>
  <si>
    <t>Oelde-MenninghausenGeno</t>
  </si>
  <si>
    <t>14016046 + 14016049</t>
  </si>
  <si>
    <t>MA165904586</t>
  </si>
  <si>
    <t>Morbach</t>
  </si>
  <si>
    <t>14015738 + 14017221 + 14016223</t>
  </si>
  <si>
    <t>MA165904520</t>
  </si>
  <si>
    <t>Heinrichsdorf</t>
  </si>
  <si>
    <t>MA165904518</t>
  </si>
  <si>
    <t>Hauptwelle</t>
  </si>
  <si>
    <t>Übigau</t>
  </si>
  <si>
    <t>14007754 + 14008776</t>
  </si>
  <si>
    <t>MA165903965</t>
  </si>
  <si>
    <t>Grapzow</t>
  </si>
  <si>
    <t>14012869 + 14014215</t>
  </si>
  <si>
    <t>MA165904289</t>
  </si>
  <si>
    <t>MA165904286</t>
  </si>
  <si>
    <t>14011113 + 14011139</t>
  </si>
  <si>
    <t>MA165904279</t>
  </si>
  <si>
    <t>14013454 + 14013767 + 14013768</t>
  </si>
  <si>
    <t>MA165903986</t>
  </si>
  <si>
    <t>1392496 + 14011641 + 14011643</t>
  </si>
  <si>
    <t>MA165903970</t>
  </si>
  <si>
    <t>14009441 + 14010129</t>
  </si>
  <si>
    <t>MA165900897</t>
  </si>
  <si>
    <t>14013836 + 14014194 + 14014195</t>
  </si>
  <si>
    <t>MA165903961</t>
  </si>
  <si>
    <t>MA165900670</t>
  </si>
  <si>
    <t>Exertal</t>
  </si>
  <si>
    <t>1398400 + 1398561</t>
  </si>
  <si>
    <t>MA165900679</t>
  </si>
  <si>
    <t>Lohne</t>
  </si>
  <si>
    <t>MA165900453</t>
  </si>
  <si>
    <t>Müggenburg</t>
  </si>
  <si>
    <t>1397351 + 1398704</t>
  </si>
  <si>
    <t>MA165900398</t>
  </si>
  <si>
    <t>Extertal-Meierberg</t>
  </si>
  <si>
    <t>1398414 + 1398559 + 1399253</t>
  </si>
  <si>
    <t>MA165900391</t>
  </si>
  <si>
    <t>Moorbach</t>
  </si>
  <si>
    <t>MA150111026</t>
  </si>
  <si>
    <t>MA150088696</t>
  </si>
  <si>
    <t>1394597 + 1394974 + 1395648 + 1396343</t>
  </si>
  <si>
    <t>MA150064527</t>
  </si>
  <si>
    <t>MA150115107</t>
  </si>
  <si>
    <t>1396479 + 1398160 + 1398900 + 1399349</t>
  </si>
  <si>
    <t>MA150110663</t>
  </si>
  <si>
    <t>Kleeberg</t>
  </si>
  <si>
    <t>1395698 + 1396568</t>
  </si>
  <si>
    <t>MA150066860</t>
  </si>
  <si>
    <t>1369066 + 1398141 + 1398175 + 1398652 + 1398899</t>
  </si>
  <si>
    <t>MA150058221</t>
  </si>
  <si>
    <t>1378099 + 1379011 + 1382132 + 1381259 + 1382036</t>
  </si>
  <si>
    <t>MA150006485</t>
  </si>
  <si>
    <t>Schacht</t>
  </si>
  <si>
    <t>1388922 + 1388924 + 1389841 + 1389960 + 1398374</t>
  </si>
  <si>
    <t>MA150053826</t>
  </si>
  <si>
    <t>1381819 + 1382260 + 1382302 + 1382438 + 1382469 + 1382470 + 1383112</t>
  </si>
  <si>
    <t>MA150064511</t>
  </si>
  <si>
    <t>Südergellersen</t>
  </si>
  <si>
    <t>1389149 + 1390183</t>
  </si>
  <si>
    <t>MA150053434</t>
  </si>
  <si>
    <t>Planetenlager</t>
  </si>
  <si>
    <t>Bönen</t>
  </si>
  <si>
    <t>1387640 + 1392512 + 1391999 + 1392286</t>
  </si>
  <si>
    <t>MA150053341</t>
  </si>
  <si>
    <t>1374806 + 1376707</t>
  </si>
  <si>
    <t>MA150006536</t>
  </si>
  <si>
    <t>1387625 + 1391997 + 1392287</t>
  </si>
  <si>
    <t>MA150053338</t>
  </si>
  <si>
    <t>Meineweh</t>
  </si>
  <si>
    <t>1377371 + 1377598</t>
  </si>
  <si>
    <t>MA150009456</t>
  </si>
  <si>
    <t>Schadensfälle 2015/2016/2017 DWTS</t>
  </si>
  <si>
    <t>Rate</t>
  </si>
  <si>
    <t>Counrty</t>
  </si>
  <si>
    <t>Man hours</t>
  </si>
  <si>
    <t>Anzahl Anfahrten</t>
  </si>
  <si>
    <t>negative case</t>
  </si>
  <si>
    <t>Help for Calculation</t>
  </si>
  <si>
    <t>hourly Rate</t>
  </si>
  <si>
    <t>km Price</t>
  </si>
  <si>
    <t>kmh</t>
  </si>
  <si>
    <t>-</t>
  </si>
  <si>
    <t>anfahrten pro Jahr störung</t>
  </si>
  <si>
    <t>Yearly Costs</t>
  </si>
  <si>
    <t>Operational Year of Component</t>
  </si>
  <si>
    <t>average</t>
  </si>
  <si>
    <t>negative</t>
  </si>
  <si>
    <t>1</t>
  </si>
  <si>
    <t>4</t>
  </si>
  <si>
    <t>6</t>
  </si>
  <si>
    <t>7</t>
  </si>
  <si>
    <t>9</t>
  </si>
  <si>
    <t>10</t>
  </si>
  <si>
    <t>12</t>
  </si>
  <si>
    <t>13</t>
  </si>
  <si>
    <t>15</t>
  </si>
  <si>
    <t>16</t>
  </si>
  <si>
    <t>18</t>
  </si>
  <si>
    <t>19</t>
  </si>
  <si>
    <t>Costs Main Component</t>
  </si>
  <si>
    <t>per year</t>
  </si>
  <si>
    <t>for Contract Duration</t>
  </si>
  <si>
    <t>Total Main Compone</t>
  </si>
  <si>
    <t>Age WTG in Years</t>
  </si>
  <si>
    <t>Age WTG end of Contract</t>
  </si>
  <si>
    <t>Duration</t>
  </si>
  <si>
    <t>Change</t>
  </si>
  <si>
    <t>Date</t>
  </si>
  <si>
    <t>Remark</t>
  </si>
  <si>
    <t>Revision Number</t>
  </si>
  <si>
    <t>Manhours/ Assamblycosts</t>
  </si>
  <si>
    <t>Summary of Main Component</t>
  </si>
  <si>
    <t>Selection:</t>
  </si>
  <si>
    <t>Maintenance:</t>
  </si>
  <si>
    <t>Unscheduled Maintenance:</t>
  </si>
  <si>
    <t>Insurance:</t>
  </si>
  <si>
    <t>Costs:</t>
  </si>
  <si>
    <t>Revenues:</t>
  </si>
  <si>
    <t>Result EUR:</t>
  </si>
  <si>
    <t>Costs per WTG per year</t>
  </si>
  <si>
    <t>Tool</t>
  </si>
  <si>
    <t>Sales</t>
  </si>
  <si>
    <t>Costs WTG per year</t>
  </si>
  <si>
    <t>Main Components with Addicator</t>
  </si>
  <si>
    <t>Costs Main Component with Addicator</t>
  </si>
  <si>
    <t>Crane Costs with Addicator</t>
  </si>
  <si>
    <t>Manhours/ Assamblycosts with Addicator</t>
  </si>
  <si>
    <t>Summary of Main Component with Addicator</t>
  </si>
  <si>
    <t>VWmGKR</t>
  </si>
  <si>
    <t>VWmGKRmF</t>
  </si>
  <si>
    <t>VVW</t>
  </si>
  <si>
    <t>Fundamente / Übergabestation / interne Kabel (Trafo außerhalb) etc … → + 0,30€/kW Zuschlag</t>
  </si>
  <si>
    <t>externe Kabel → + 0,10€/kW Zuschlag</t>
  </si>
  <si>
    <t>Price:</t>
  </si>
  <si>
    <t xml:space="preserve">Mobilisierungs-/Demobilisierungskosten (AAAA) </t>
  </si>
  <si>
    <t>Kosten Tagessätze</t>
  </si>
  <si>
    <t>Kosten Umsetzung im WP</t>
  </si>
  <si>
    <t>Sonstige Kosten</t>
  </si>
  <si>
    <t>Standby wetterbedingt (1h)</t>
  </si>
  <si>
    <t>Überstunde (&gt; 10h) (Preis pro Stunde)</t>
  </si>
  <si>
    <t>+15%</t>
  </si>
  <si>
    <t>Kosten 100t. Hilfskran</t>
  </si>
  <si>
    <t>Mob/Demob (AAAA)</t>
  </si>
  <si>
    <t>Tagessatz</t>
  </si>
  <si>
    <t>Postleitzahlen</t>
  </si>
  <si>
    <t>Gültig für folgende Postleitzahlengebiete</t>
  </si>
  <si>
    <t>DE</t>
  </si>
  <si>
    <t>maximale Windgeschwindigkeit</t>
  </si>
  <si>
    <t>Kraneinsatz bis zu</t>
  </si>
  <si>
    <t>7 m/s</t>
  </si>
  <si>
    <t>*Hakenhöhe = Nabenhöhe + 10 m</t>
  </si>
  <si>
    <t>Kranpreismatrix</t>
  </si>
  <si>
    <t>135</t>
  </si>
  <si>
    <t>145</t>
  </si>
  <si>
    <t>155</t>
  </si>
  <si>
    <t>165</t>
  </si>
  <si>
    <t>175</t>
  </si>
  <si>
    <t xml:space="preserve"> Höhe [m]/Masse [t]</t>
  </si>
  <si>
    <t>Component Weight in t</t>
  </si>
  <si>
    <t>Cranedays</t>
  </si>
  <si>
    <t>Is a Disassembly of the rotor necessary to replace the Main Component?</t>
  </si>
  <si>
    <t>NEG MICON</t>
  </si>
  <si>
    <t>3.4M114</t>
  </si>
  <si>
    <t>3.7M144</t>
  </si>
  <si>
    <t xml:space="preserve"> </t>
  </si>
  <si>
    <t>Berechnung zu Krankosten</t>
  </si>
  <si>
    <t>weight</t>
  </si>
  <si>
    <t>Additional crane</t>
  </si>
  <si>
    <t>days of crane use</t>
  </si>
  <si>
    <t>Comparison</t>
  </si>
  <si>
    <t>Costs additional crane</t>
  </si>
  <si>
    <t>Costs for days of crane use</t>
  </si>
  <si>
    <t>Row Weight</t>
  </si>
  <si>
    <t>Hub Height</t>
  </si>
  <si>
    <t>50% Versicherungserstattung</t>
  </si>
  <si>
    <t>Insurance costs:</t>
  </si>
  <si>
    <t>Summary Crane Costs</t>
  </si>
  <si>
    <t>&lt; 5 Years</t>
  </si>
  <si>
    <t>&gt;5 Years</t>
  </si>
  <si>
    <t>per kW</t>
  </si>
  <si>
    <t>per WTG</t>
  </si>
  <si>
    <t>Insurance Costs</t>
  </si>
  <si>
    <t>Costumer</t>
  </si>
  <si>
    <t>WTG Type</t>
  </si>
  <si>
    <t>Price per WTG:</t>
  </si>
  <si>
    <t>Calculation Result</t>
  </si>
  <si>
    <t>Executive Summary</t>
  </si>
  <si>
    <t>Differenc MC</t>
  </si>
  <si>
    <t>Summary Costs with correction of MC</t>
  </si>
  <si>
    <t>insurance refunds MC</t>
  </si>
  <si>
    <t>options / others</t>
  </si>
  <si>
    <t>MC:</t>
  </si>
  <si>
    <t>Difference</t>
  </si>
  <si>
    <t>Options:</t>
  </si>
  <si>
    <t>Input</t>
  </si>
  <si>
    <t>per WF</t>
  </si>
  <si>
    <t>Yearly Expenses for one Service Technican</t>
  </si>
  <si>
    <t>Yearly Net Hours ST</t>
  </si>
  <si>
    <t>Central Disposition</t>
  </si>
  <si>
    <t>Difference MC</t>
  </si>
  <si>
    <t>MC assumptaions per duration per WTG</t>
  </si>
  <si>
    <t>Special features of the contract</t>
  </si>
  <si>
    <t>Total Yearly hours</t>
  </si>
  <si>
    <t>Yearly hours Service Technican</t>
  </si>
  <si>
    <t>Yearly Expenses - Service Technican</t>
  </si>
  <si>
    <t>Yearly Costs - Service Car</t>
  </si>
  <si>
    <t>Number of collected data</t>
  </si>
  <si>
    <t>WTG manufacturer:</t>
  </si>
  <si>
    <t>WTG type:</t>
  </si>
  <si>
    <t>Hub height [m]:</t>
  </si>
  <si>
    <t>Rated power [kW]</t>
  </si>
  <si>
    <t>Commissioning date:</t>
  </si>
  <si>
    <t>Distance service station [km]:</t>
  </si>
  <si>
    <t>Phone number:</t>
  </si>
  <si>
    <t>Street &amp; number:</t>
  </si>
  <si>
    <t>Commencement date:</t>
  </si>
  <si>
    <t>Contract model:</t>
  </si>
  <si>
    <t>Tool version:</t>
  </si>
  <si>
    <t>Preparation date:</t>
  </si>
  <si>
    <t>Cost category</t>
  </si>
  <si>
    <t>Costs per WTG (by tool)</t>
  </si>
  <si>
    <t>Costs per wind farm per contract duration</t>
  </si>
  <si>
    <t>Main components per WTG per contract duration</t>
  </si>
  <si>
    <t>Correction MC (+/- number of main components)</t>
  </si>
  <si>
    <t>Main Components (MC)</t>
  </si>
  <si>
    <t>Calculation margin:</t>
  </si>
  <si>
    <t>Wind farm per duration</t>
  </si>
  <si>
    <t>Sales price (decentralized service concept)</t>
  </si>
  <si>
    <t>Yearly net hours:</t>
  </si>
  <si>
    <t>Yearly expenses for service technicians:</t>
  </si>
  <si>
    <t>WTG per year</t>
  </si>
  <si>
    <t>Duration:</t>
  </si>
  <si>
    <t>Planned signature date:</t>
  </si>
  <si>
    <t>Calculation assumptions</t>
  </si>
  <si>
    <t>Next service station:</t>
  </si>
  <si>
    <t>Number of WTG:</t>
  </si>
  <si>
    <t>Service technican hourly rate:</t>
  </si>
  <si>
    <t>Total time for maintenance per WTG:</t>
  </si>
  <si>
    <t>Total time for Unschedueld Maintenance per WTG:</t>
  </si>
  <si>
    <t>Created by:</t>
  </si>
  <si>
    <t>Costs per WTG:</t>
  </si>
  <si>
    <t>Revenues per wind farm:</t>
  </si>
  <si>
    <t>Deviations from standard</t>
  </si>
  <si>
    <t>Needed intercompany services</t>
  </si>
  <si>
    <t>Scope of supply</t>
  </si>
  <si>
    <t>Important for contract</t>
  </si>
  <si>
    <t>Extraordinary risks /
Commercially important topics</t>
  </si>
  <si>
    <t>Region:</t>
  </si>
  <si>
    <t>Damages caused by natural forces</t>
  </si>
  <si>
    <t>Rotor blade inspection</t>
  </si>
  <si>
    <t>Foundation inspection</t>
  </si>
  <si>
    <t>Gear box endoscopy</t>
  </si>
  <si>
    <t xml:space="preserve">Statutory inspections &amp; maintenance of safety equipment </t>
  </si>
  <si>
    <t>Recurring inspection of WTG &amp; tower</t>
  </si>
  <si>
    <t>Electrical equipment inspection DIN IEC 60364/ DGUV V3</t>
  </si>
  <si>
    <t>Service lift maintenance</t>
  </si>
  <si>
    <t>AIA / ZÜS pressure equipment</t>
  </si>
  <si>
    <t xml:space="preserve">Gear box oil exchange </t>
  </si>
  <si>
    <t>Option</t>
  </si>
  <si>
    <t xml:space="preserve">excluded </t>
  </si>
  <si>
    <t>included</t>
  </si>
  <si>
    <t>Spanisch</t>
  </si>
  <si>
    <t>French</t>
  </si>
  <si>
    <t>Swedish</t>
  </si>
  <si>
    <t>Dutch</t>
  </si>
  <si>
    <t>Polish</t>
  </si>
  <si>
    <t>Counrty:</t>
  </si>
  <si>
    <t>Total Main Componet WTG</t>
  </si>
  <si>
    <t>Materialkosten zuschlag</t>
  </si>
  <si>
    <t>Material zuschlag</t>
  </si>
  <si>
    <t>GK Zuschlag</t>
  </si>
  <si>
    <t>Material zuschlag GK</t>
  </si>
  <si>
    <t>Overhead rate:</t>
  </si>
  <si>
    <t xml:space="preserve">Costs incl. Overheads </t>
  </si>
  <si>
    <t>Overheads in %</t>
  </si>
  <si>
    <t>Disposition</t>
  </si>
  <si>
    <t>Disposition:</t>
  </si>
  <si>
    <t>Dezentral</t>
  </si>
  <si>
    <t>Zentral</t>
  </si>
  <si>
    <t>Print Date</t>
  </si>
  <si>
    <t>Signatur CEO:</t>
  </si>
  <si>
    <t>Enercon</t>
  </si>
  <si>
    <t>E-48</t>
  </si>
  <si>
    <t>E-53</t>
  </si>
  <si>
    <t>E-58/10.58</t>
  </si>
  <si>
    <t>E-66</t>
  </si>
  <si>
    <t>E-66/18.70 (E-70)</t>
  </si>
  <si>
    <t>E-66/20.70 (E-70)</t>
  </si>
  <si>
    <t>E-70 E4 (E-78)</t>
  </si>
  <si>
    <t>E-82</t>
  </si>
  <si>
    <t>E-82 E2 2.000</t>
  </si>
  <si>
    <t>E-82 E2 2.300</t>
  </si>
  <si>
    <t>E-82 E3 3.000</t>
  </si>
  <si>
    <t>E-82 E4 2.350</t>
  </si>
  <si>
    <t>E-82 E4 3.000</t>
  </si>
  <si>
    <t>E-92</t>
  </si>
  <si>
    <t>E-101 3.050</t>
  </si>
  <si>
    <t>E-101 E2 3.050</t>
  </si>
  <si>
    <t>E-101 E2 3.500</t>
  </si>
  <si>
    <t>E-115 2.500</t>
  </si>
  <si>
    <t>E-115 3.000</t>
  </si>
  <si>
    <t>no</t>
  </si>
  <si>
    <t>hub height</t>
  </si>
  <si>
    <t>Zusatzwartungen</t>
  </si>
  <si>
    <t>Betriebjahr</t>
  </si>
  <si>
    <t>Typ 4</t>
  </si>
  <si>
    <t>2J Wartung</t>
  </si>
  <si>
    <t>3J Wartung</t>
  </si>
  <si>
    <t>4J Wartung</t>
  </si>
  <si>
    <t>6J Wartung</t>
  </si>
  <si>
    <t>10J Wartung</t>
  </si>
  <si>
    <t>20J Wartung</t>
  </si>
  <si>
    <t>Personel Costs</t>
  </si>
  <si>
    <t>Hourly Rate</t>
  </si>
  <si>
    <t>Type 2 Maintenance</t>
  </si>
  <si>
    <t>Type 3 Maintenance</t>
  </si>
  <si>
    <t>Type 4 Maintenance</t>
  </si>
  <si>
    <t>2Y-Maintenance</t>
  </si>
  <si>
    <t>3Y-Maintenance</t>
  </si>
  <si>
    <t>4Y-Maintenance</t>
  </si>
  <si>
    <t>6Y-Maintenance</t>
  </si>
  <si>
    <t>10Y-Maintenance</t>
  </si>
  <si>
    <t>20Y-Maintenance</t>
  </si>
  <si>
    <t>2J-Wartung</t>
  </si>
  <si>
    <t>3J-Wartung</t>
  </si>
  <si>
    <t>4J-Wartung</t>
  </si>
  <si>
    <t>6J-Wartung</t>
  </si>
  <si>
    <t>10J-Wartung</t>
  </si>
  <si>
    <t>20J-Wartung</t>
  </si>
  <si>
    <t>Type</t>
  </si>
  <si>
    <t>Contract Duration</t>
  </si>
  <si>
    <t xml:space="preserve">Typ 1 </t>
  </si>
  <si>
    <t>SUMME</t>
  </si>
  <si>
    <t>Costs/year/ Manhours</t>
  </si>
  <si>
    <t>Costs/year/Material Costs</t>
  </si>
  <si>
    <t>inspection</t>
  </si>
  <si>
    <t>inspection &amp; replacement</t>
  </si>
  <si>
    <t>Anzahl der Anfahrten</t>
  </si>
  <si>
    <t>negativr</t>
  </si>
  <si>
    <t>Costs (average):</t>
  </si>
  <si>
    <t>Free(per WTG/year):</t>
  </si>
  <si>
    <t>Blade Repairs:</t>
  </si>
  <si>
    <t>Blade Repair</t>
  </si>
  <si>
    <t>Blade Repairs</t>
  </si>
  <si>
    <t>Options</t>
  </si>
  <si>
    <t>Sum Options</t>
  </si>
  <si>
    <t>included/excluded</t>
  </si>
  <si>
    <t>Price for Option</t>
  </si>
  <si>
    <t>24/7 Control</t>
  </si>
  <si>
    <t>Material costs</t>
  </si>
  <si>
    <t>Contract Person:</t>
  </si>
  <si>
    <t>Costs/contract duration/ Man hours</t>
  </si>
  <si>
    <t>Costs/contract duration / Material Costs</t>
  </si>
  <si>
    <t>G52</t>
  </si>
  <si>
    <t>G58</t>
  </si>
  <si>
    <t>G66</t>
  </si>
  <si>
    <t>G80</t>
  </si>
  <si>
    <t>G87</t>
  </si>
  <si>
    <t>G90</t>
  </si>
  <si>
    <t>G97</t>
  </si>
  <si>
    <t xml:space="preserve">G114 </t>
  </si>
  <si>
    <t>Gamesa</t>
  </si>
  <si>
    <t>yes</t>
  </si>
  <si>
    <t>WEA Type</t>
  </si>
  <si>
    <t>Rotor</t>
  </si>
  <si>
    <t>Blade</t>
  </si>
  <si>
    <t>Annual energy yield per WTG [kWh]</t>
  </si>
  <si>
    <t>Anzahl der Ermittelten Daten</t>
  </si>
  <si>
    <t>Anzahl WEA</t>
  </si>
  <si>
    <t>Denmark</t>
  </si>
  <si>
    <t>Price</t>
  </si>
  <si>
    <t>Hydraulic oil exchange</t>
  </si>
  <si>
    <t>Year of Operation</t>
  </si>
  <si>
    <t>AN Bonus 2000</t>
  </si>
  <si>
    <t>An Bonus 2000</t>
  </si>
  <si>
    <t>Summary Costs with correction of MC for centralized service concept / service center in wind farm)</t>
  </si>
  <si>
    <t>Requiered nuber of service Technicans (theory)</t>
  </si>
  <si>
    <t>Requiered nuber of service Technicans (sales)</t>
  </si>
  <si>
    <t>Required number of service cars / vans (theory)</t>
  </si>
  <si>
    <t>Required number of service cars / vans (sales):</t>
  </si>
  <si>
    <t>Unsheduled Maintenance</t>
  </si>
  <si>
    <t>Yearly expenses for service car / Vans</t>
  </si>
  <si>
    <t>Maintenance and Unsheduled Maintenance</t>
  </si>
  <si>
    <t>Total Personnel Costs per WTG and year</t>
  </si>
  <si>
    <t xml:space="preserve">from </t>
  </si>
  <si>
    <t>to</t>
  </si>
  <si>
    <t xml:space="preserve">Year </t>
  </si>
  <si>
    <t>Total</t>
  </si>
  <si>
    <t>Pricing for Offer Sheet</t>
  </si>
  <si>
    <t>Output Power</t>
  </si>
  <si>
    <t>Availability Guarantee</t>
  </si>
  <si>
    <t>excluded</t>
  </si>
  <si>
    <t>Upgrades</t>
  </si>
  <si>
    <t>Availability Gurantee</t>
  </si>
  <si>
    <t>Service lift inspection by certified body</t>
  </si>
  <si>
    <t>Free (WF/contract duration):</t>
  </si>
  <si>
    <t>Free(per WF/contract duration)  non recurring</t>
  </si>
  <si>
    <t>Fundation inspection</t>
  </si>
  <si>
    <t>Inspection</t>
  </si>
  <si>
    <t>Inspection &amp; replacement</t>
  </si>
  <si>
    <t>Unscheduled Maintenance  Manhours ( Basic +)</t>
  </si>
  <si>
    <t>Manhour Costs per year and WTG</t>
  </si>
  <si>
    <t>Basic +</t>
  </si>
  <si>
    <t>Lattice Tower Inspection</t>
  </si>
  <si>
    <t>Average price per year and WTG</t>
  </si>
  <si>
    <t>Sales price (centralized service concept)</t>
  </si>
  <si>
    <t>Encavis</t>
  </si>
  <si>
    <t>Gussenstadt</t>
  </si>
  <si>
    <t>Philipp Alberti</t>
  </si>
  <si>
    <t>p.alberti@deutsche-windtechnik.com</t>
  </si>
  <si>
    <t>X-Service</t>
  </si>
  <si>
    <t>1/2</t>
  </si>
  <si>
    <t>m/f</t>
  </si>
  <si>
    <t>m</t>
  </si>
  <si>
    <t>f</t>
  </si>
  <si>
    <t>Haron Hassani</t>
  </si>
  <si>
    <t>Hauptstraße 1</t>
  </si>
  <si>
    <t>12345 Musterstadt</t>
  </si>
  <si>
    <t>Availability2</t>
  </si>
  <si>
    <t>farm</t>
  </si>
  <si>
    <t>single WTG</t>
  </si>
  <si>
    <t>Verfied by:</t>
  </si>
  <si>
    <t>Verified by:</t>
  </si>
  <si>
    <t>Summe</t>
  </si>
  <si>
    <t>Row Hub Height</t>
  </si>
  <si>
    <t>Severin Mielimonka</t>
  </si>
  <si>
    <t>s.mielimonka@deutsche-windtechnik.com</t>
  </si>
  <si>
    <t>N117/3600</t>
  </si>
  <si>
    <t>1.1.4</t>
  </si>
  <si>
    <t>Waste disposal</t>
  </si>
  <si>
    <t>SCARDA Maintenance</t>
  </si>
  <si>
    <t>Condition Monitoring</t>
  </si>
  <si>
    <t>SCADA Maintenance</t>
  </si>
  <si>
    <t>Alfredo Del Tiempo Pina</t>
  </si>
  <si>
    <t>a.deltiempo-pina@deutsche-windtechnik.com</t>
  </si>
  <si>
    <t xml:space="preserve">+34 976 216 038 </t>
  </si>
  <si>
    <t>Service lift inspection by certified body (ZÜS Service lift)</t>
  </si>
  <si>
    <t>Adding options to the input and adjusting option costs</t>
  </si>
  <si>
    <t>Customization Options in Offersheet "Maintenance and repair of safety equipment"</t>
  </si>
  <si>
    <t>Correction of the Enercon main component weights</t>
  </si>
  <si>
    <t>1.1.5</t>
  </si>
  <si>
    <t xml:space="preserve">The verifying person is selected in the input.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</si>
</sst>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7" formatCode="#,##0.00\ &quot;€&quot;;\-#,##0.00\ &quot;€&quot;"/>
    <numFmt numFmtId="8" formatCode="#,##0.00\ &quot;€&quot;;[Red]\-#,##0.00\ &quot;€&quot;"/>
    <numFmt numFmtId="44" formatCode="_-* #,##0.00\ &quot;€&quot;_-;\-* #,##0.00\ &quot;€&quot;_-;_-* &quot;-&quot;??\ &quot;€&quot;_-;_-@_-"/>
    <numFmt numFmtId="43" formatCode="_-* #,##0.00\ _€_-;\-* #,##0.00\ _€_-;_-* &quot;-&quot;??\ _€_-;_-@_-"/>
    <numFmt numFmtId="164" formatCode="0\ &quot;m&quot;"/>
    <numFmt numFmtId="165" formatCode="0\ &quot;WTG&quot;"/>
    <numFmt numFmtId="166" formatCode="0\ &quot;km&quot;"/>
    <numFmt numFmtId="167" formatCode="0\ &quot;Years&quot;"/>
    <numFmt numFmtId="168" formatCode="#,##0.00\ &quot;€&quot;"/>
    <numFmt numFmtId="169" formatCode="0\ &quot;Stk.&quot;"/>
    <numFmt numFmtId="170" formatCode="#,##0\ &quot;€&quot;"/>
    <numFmt numFmtId="171" formatCode="0.0%"/>
    <numFmt numFmtId="172" formatCode="#,##0.00\ &quot;EUR&quot;"/>
    <numFmt numFmtId="173" formatCode="0\ \k\W"/>
    <numFmt numFmtId="174" formatCode="0.00\ &quot;Stk.&quot;"/>
  </numFmts>
  <fonts count="37">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b/>
      <sz val="11"/>
      <color theme="4" tint="-0.499984740745262"/>
      <name val="Calibri"/>
      <family val="2"/>
      <scheme val="minor"/>
    </font>
    <font>
      <sz val="11"/>
      <color theme="4" tint="-0.499984740745262"/>
      <name val="Calibri"/>
      <family val="2"/>
      <scheme val="minor"/>
    </font>
    <font>
      <sz val="11"/>
      <color theme="5" tint="0.59999389629810485"/>
      <name val="Calibri"/>
      <family val="2"/>
      <scheme val="minor"/>
    </font>
    <font>
      <b/>
      <sz val="11"/>
      <color theme="1"/>
      <name val="Calibri"/>
      <family val="2"/>
    </font>
    <font>
      <sz val="9"/>
      <color indexed="81"/>
      <name val="Segoe UI"/>
      <family val="2"/>
    </font>
    <font>
      <b/>
      <sz val="9"/>
      <color indexed="81"/>
      <name val="Segoe UI"/>
      <family val="2"/>
    </font>
    <font>
      <b/>
      <sz val="14"/>
      <color theme="4" tint="-0.499984740745262"/>
      <name val="Calibri"/>
      <family val="2"/>
      <scheme val="minor"/>
    </font>
    <font>
      <b/>
      <sz val="20"/>
      <color theme="0"/>
      <name val="Calibri"/>
      <family val="2"/>
      <scheme val="minor"/>
    </font>
    <font>
      <sz val="20"/>
      <color theme="0"/>
      <name val="Calibri"/>
      <family val="2"/>
      <scheme val="minor"/>
    </font>
    <font>
      <b/>
      <sz val="16"/>
      <color theme="0"/>
      <name val="Calibri"/>
      <family val="2"/>
      <scheme val="minor"/>
    </font>
    <font>
      <sz val="11"/>
      <color theme="5" tint="-0.249977111117893"/>
      <name val="Calibri"/>
      <family val="2"/>
      <scheme val="minor"/>
    </font>
    <font>
      <sz val="11"/>
      <color theme="7" tint="0.59999389629810485"/>
      <name val="Calibri"/>
      <family val="2"/>
      <scheme val="minor"/>
    </font>
    <font>
      <sz val="11"/>
      <color theme="4" tint="0.39997558519241921"/>
      <name val="Calibri"/>
      <family val="2"/>
      <scheme val="minor"/>
    </font>
    <font>
      <sz val="14"/>
      <color theme="0"/>
      <name val="Calibri"/>
      <family val="2"/>
      <scheme val="minor"/>
    </font>
    <font>
      <b/>
      <sz val="24"/>
      <color rgb="FFFF0000"/>
      <name val="Calibri"/>
      <family val="2"/>
      <scheme val="minor"/>
    </font>
    <font>
      <sz val="11"/>
      <color theme="3" tint="-0.499984740745262"/>
      <name val="Calibri"/>
      <family val="2"/>
      <scheme val="minor"/>
    </font>
    <font>
      <sz val="11"/>
      <name val="Calibri"/>
      <family val="2"/>
      <scheme val="minor"/>
    </font>
    <font>
      <b/>
      <sz val="10"/>
      <color theme="4" tint="-0.499984740745262"/>
      <name val="Arial Unicode MS"/>
      <family val="2"/>
    </font>
    <font>
      <sz val="11"/>
      <color rgb="FF000000"/>
      <name val="Calibri"/>
      <family val="2"/>
      <scheme val="minor"/>
    </font>
    <font>
      <b/>
      <sz val="11"/>
      <color theme="7"/>
      <name val="Calibri"/>
      <family val="2"/>
      <scheme val="minor"/>
    </font>
    <font>
      <b/>
      <u/>
      <sz val="11"/>
      <color theme="1"/>
      <name val="Calibri"/>
      <family val="2"/>
      <scheme val="minor"/>
    </font>
    <font>
      <sz val="11"/>
      <color rgb="FFFF0000"/>
      <name val="Calibri"/>
      <family val="2"/>
      <scheme val="minor"/>
    </font>
    <font>
      <sz val="11"/>
      <color theme="5"/>
      <name val="Calibri"/>
      <family val="2"/>
      <scheme val="minor"/>
    </font>
    <font>
      <b/>
      <sz val="11"/>
      <color rgb="FFFF0000"/>
      <name val="Calibri"/>
      <family val="2"/>
      <scheme val="minor"/>
    </font>
    <font>
      <b/>
      <sz val="12"/>
      <color theme="1"/>
      <name val="Calibri"/>
      <family val="2"/>
      <scheme val="minor"/>
    </font>
    <font>
      <b/>
      <sz val="12"/>
      <color theme="0"/>
      <name val="Calibri"/>
      <family val="2"/>
      <scheme val="minor"/>
    </font>
    <font>
      <sz val="10"/>
      <color theme="4" tint="-0.499984740745262"/>
      <name val="Calibri"/>
      <family val="2"/>
      <scheme val="minor"/>
    </font>
    <font>
      <b/>
      <sz val="11"/>
      <color rgb="FF0070C0"/>
      <name val="Calibri"/>
      <family val="2"/>
      <scheme val="minor"/>
    </font>
    <font>
      <sz val="12"/>
      <color theme="1"/>
      <name val="Calibri"/>
      <family val="2"/>
      <scheme val="minor"/>
    </font>
    <font>
      <b/>
      <sz val="14"/>
      <color theme="1"/>
      <name val="Calibri"/>
      <family val="2"/>
      <scheme val="minor"/>
    </font>
    <font>
      <u/>
      <sz val="11"/>
      <color theme="10"/>
      <name val="Calibri"/>
      <family val="2"/>
      <scheme val="minor"/>
    </font>
  </fonts>
  <fills count="28">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lightTrellis">
        <fgColor theme="0" tint="-0.14996795556505021"/>
        <bgColor theme="0"/>
      </patternFill>
    </fill>
    <fill>
      <patternFill patternType="solid">
        <fgColor theme="4" tint="0.79998168889431442"/>
        <bgColor indexed="64"/>
      </patternFill>
    </fill>
    <fill>
      <patternFill patternType="solid">
        <fgColor theme="0"/>
        <bgColor theme="6"/>
      </patternFill>
    </fill>
    <fill>
      <patternFill patternType="solid">
        <fgColor theme="4" tint="-0.499984740745262"/>
        <bgColor theme="6"/>
      </patternFill>
    </fill>
    <fill>
      <patternFill patternType="solid">
        <fgColor theme="8"/>
        <bgColor theme="8"/>
      </patternFill>
    </fill>
    <fill>
      <patternFill patternType="solid">
        <fgColor theme="4" tint="0.39997558519241921"/>
        <bgColor indexed="64"/>
      </patternFill>
    </fill>
    <fill>
      <patternFill patternType="solid">
        <fgColor theme="4" tint="-0.499984740745262"/>
        <bgColor theme="0" tint="-0.14993743705557422"/>
      </patternFill>
    </fill>
    <fill>
      <patternFill patternType="lightTrellis">
        <fgColor theme="7"/>
        <bgColor theme="0"/>
      </patternFill>
    </fill>
    <fill>
      <patternFill patternType="lightTrellis">
        <fgColor theme="0" tint="-0.14993743705557422"/>
        <bgColor theme="0"/>
      </patternFill>
    </fill>
    <fill>
      <patternFill patternType="solid">
        <fgColor theme="2"/>
        <bgColor indexed="64"/>
      </patternFill>
    </fill>
    <fill>
      <patternFill patternType="solid">
        <fgColor theme="4" tint="-0.499984740745262"/>
        <bgColor theme="0"/>
      </patternFill>
    </fill>
    <fill>
      <patternFill patternType="lightTrellis">
        <fgColor theme="0" tint="-0.14996795556505021"/>
        <bgColor indexed="65"/>
      </patternFill>
    </fill>
    <fill>
      <patternFill patternType="solid">
        <fgColor theme="0" tint="-4.9989318521683403E-2"/>
        <bgColor indexed="64"/>
      </patternFill>
    </fill>
    <fill>
      <patternFill patternType="lightTrellis">
        <fgColor theme="0"/>
      </patternFill>
    </fill>
    <fill>
      <patternFill patternType="lightUp">
        <fgColor theme="0"/>
        <bgColor theme="0"/>
      </patternFill>
    </fill>
    <fill>
      <patternFill patternType="solid">
        <fgColor theme="0" tint="-0.34998626667073579"/>
        <bgColor indexed="64"/>
      </patternFill>
    </fill>
    <fill>
      <patternFill patternType="solid">
        <fgColor theme="6"/>
        <bgColor theme="6"/>
      </patternFill>
    </fill>
    <fill>
      <patternFill patternType="solid">
        <fgColor theme="7" tint="0.79998168889431442"/>
        <bgColor indexed="64"/>
      </patternFill>
    </fill>
    <fill>
      <patternFill patternType="solid">
        <fgColor theme="5"/>
        <bgColor indexed="64"/>
      </patternFill>
    </fill>
    <fill>
      <patternFill patternType="solid">
        <fgColor rgb="FFFFFF00"/>
        <bgColor indexed="64"/>
      </patternFill>
    </fill>
    <fill>
      <patternFill patternType="solid">
        <fgColor theme="0"/>
        <bgColor theme="0"/>
      </patternFill>
    </fill>
    <fill>
      <patternFill patternType="solid">
        <fgColor indexed="65"/>
        <bgColor theme="0"/>
      </patternFill>
    </fill>
    <fill>
      <patternFill patternType="solid">
        <fgColor theme="5" tint="0.59999389629810485"/>
        <bgColor indexed="64"/>
      </patternFill>
    </fill>
    <fill>
      <patternFill patternType="solid">
        <fgColor theme="4" tint="-0.499984740745262"/>
        <bgColor theme="0" tint="-0.14996795556505021"/>
      </patternFill>
    </fill>
  </fills>
  <borders count="163">
    <border>
      <left/>
      <right/>
      <top/>
      <bottom/>
      <diagonal/>
    </border>
    <border>
      <left/>
      <right/>
      <top/>
      <bottom style="medium">
        <color theme="4" tint="-0.499984740745262"/>
      </bottom>
      <diagonal/>
    </border>
    <border>
      <left/>
      <right/>
      <top style="medium">
        <color theme="4" tint="-0.499984740745262"/>
      </top>
      <bottom/>
      <diagonal/>
    </border>
    <border>
      <left/>
      <right/>
      <top style="thin">
        <color theme="6"/>
      </top>
      <bottom/>
      <diagonal/>
    </border>
    <border>
      <left style="medium">
        <color theme="4" tint="-0.499984740745262"/>
      </left>
      <right style="thin">
        <color theme="0" tint="-0.24994659260841701"/>
      </right>
      <top style="medium">
        <color theme="4" tint="-0.499984740745262"/>
      </top>
      <bottom/>
      <diagonal/>
    </border>
    <border>
      <left style="thin">
        <color theme="0" tint="-0.24994659260841701"/>
      </left>
      <right style="thin">
        <color theme="0" tint="-0.24994659260841701"/>
      </right>
      <top style="medium">
        <color theme="4" tint="-0.499984740745262"/>
      </top>
      <bottom/>
      <diagonal/>
    </border>
    <border>
      <left style="thin">
        <color theme="0" tint="-0.24994659260841701"/>
      </left>
      <right style="medium">
        <color theme="4" tint="-0.499984740745262"/>
      </right>
      <top style="medium">
        <color theme="4" tint="-0.499984740745262"/>
      </top>
      <bottom/>
      <diagonal/>
    </border>
    <border>
      <left style="medium">
        <color theme="4" tint="-0.499984740745262"/>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4" tint="-0.499984740745262"/>
      </right>
      <top/>
      <bottom/>
      <diagonal/>
    </border>
    <border>
      <left style="medium">
        <color theme="4" tint="-0.499984740745262"/>
      </left>
      <right style="thin">
        <color theme="0" tint="-0.24994659260841701"/>
      </right>
      <top/>
      <bottom style="medium">
        <color theme="4" tint="-0.499984740745262"/>
      </bottom>
      <diagonal/>
    </border>
    <border>
      <left style="thin">
        <color theme="0" tint="-0.24994659260841701"/>
      </left>
      <right style="thin">
        <color theme="0" tint="-0.24994659260841701"/>
      </right>
      <top/>
      <bottom style="medium">
        <color theme="4" tint="-0.499984740745262"/>
      </bottom>
      <diagonal/>
    </border>
    <border>
      <left style="thin">
        <color theme="0" tint="-0.24994659260841701"/>
      </left>
      <right/>
      <top style="medium">
        <color theme="4" tint="-0.499984740745262"/>
      </top>
      <bottom/>
      <diagonal/>
    </border>
    <border>
      <left/>
      <right style="medium">
        <color theme="4" tint="-0.499984740745262"/>
      </right>
      <top style="medium">
        <color theme="4" tint="-0.499984740745262"/>
      </top>
      <bottom/>
      <diagonal/>
    </border>
    <border>
      <left style="thin">
        <color theme="0" tint="-0.24994659260841701"/>
      </left>
      <right/>
      <top/>
      <bottom/>
      <diagonal/>
    </border>
    <border>
      <left/>
      <right style="medium">
        <color theme="4" tint="-0.499984740745262"/>
      </right>
      <top/>
      <bottom/>
      <diagonal/>
    </border>
    <border>
      <left style="thin">
        <color theme="0" tint="-0.24994659260841701"/>
      </left>
      <right/>
      <top/>
      <bottom style="medium">
        <color theme="4" tint="-0.499984740745262"/>
      </bottom>
      <diagonal/>
    </border>
    <border>
      <left/>
      <right style="medium">
        <color theme="4" tint="-0.499984740745262"/>
      </right>
      <top/>
      <bottom style="medium">
        <color theme="4" tint="-0.499984740745262"/>
      </bottom>
      <diagonal/>
    </border>
    <border>
      <left style="medium">
        <color theme="4" tint="-0.499984740745262"/>
      </left>
      <right/>
      <top/>
      <bottom/>
      <diagonal/>
    </border>
    <border>
      <left style="thin">
        <color theme="0" tint="-0.24994659260841701"/>
      </left>
      <right/>
      <top style="medium">
        <color theme="4" tint="-0.499984740745262"/>
      </top>
      <bottom style="medium">
        <color theme="4" tint="-0.499984740745262"/>
      </bottom>
      <diagonal/>
    </border>
    <border>
      <left/>
      <right style="medium">
        <color theme="4" tint="-0.499984740745262"/>
      </right>
      <top style="medium">
        <color theme="4" tint="-0.499984740745262"/>
      </top>
      <bottom style="medium">
        <color theme="4" tint="-0.499984740745262"/>
      </bottom>
      <diagonal/>
    </border>
    <border>
      <left style="medium">
        <color theme="4" tint="-0.499984740745262"/>
      </left>
      <right/>
      <top/>
      <bottom style="medium">
        <color theme="4" tint="-0.499984740745262"/>
      </bottom>
      <diagonal/>
    </border>
    <border>
      <left style="medium">
        <color theme="4" tint="-0.499984740745262"/>
      </left>
      <right style="thin">
        <color theme="0" tint="-0.24994659260841701"/>
      </right>
      <top style="medium">
        <color theme="4" tint="-0.499984740745262"/>
      </top>
      <bottom style="medium">
        <color theme="4" tint="-0.499984740745262"/>
      </bottom>
      <diagonal/>
    </border>
    <border>
      <left/>
      <right/>
      <top style="medium">
        <color theme="4" tint="-0.499984740745262"/>
      </top>
      <bottom style="medium">
        <color theme="4" tint="-0.499984740745262"/>
      </bottom>
      <diagonal/>
    </border>
    <border>
      <left style="medium">
        <color theme="4" tint="-0.499984740745262"/>
      </left>
      <right/>
      <top style="medium">
        <color theme="4" tint="-0.499984740745262"/>
      </top>
      <bottom/>
      <diagonal/>
    </border>
    <border>
      <left style="medium">
        <color theme="0" tint="-0.14996795556505021"/>
      </left>
      <right style="medium">
        <color theme="0" tint="-0.14996795556505021"/>
      </right>
      <top style="medium">
        <color theme="0" tint="-0.14996795556505021"/>
      </top>
      <bottom style="medium">
        <color theme="0" tint="-0.14996795556505021"/>
      </bottom>
      <diagonal/>
    </border>
    <border>
      <left style="medium">
        <color theme="0" tint="-0.14996795556505021"/>
      </left>
      <right style="thin">
        <color theme="0" tint="-0.24994659260841701"/>
      </right>
      <top style="medium">
        <color theme="0" tint="-0.14996795556505021"/>
      </top>
      <bottom style="medium">
        <color theme="0" tint="-0.14996795556505021"/>
      </bottom>
      <diagonal/>
    </border>
    <border>
      <left style="medium">
        <color theme="0" tint="-0.14996795556505021"/>
      </left>
      <right/>
      <top style="medium">
        <color theme="0" tint="-0.14996795556505021"/>
      </top>
      <bottom style="medium">
        <color theme="0" tint="-0.14996795556505021"/>
      </bottom>
      <diagonal/>
    </border>
    <border>
      <left style="medium">
        <color theme="0" tint="-0.14996795556505021"/>
      </left>
      <right style="medium">
        <color theme="4" tint="-0.499984740745262"/>
      </right>
      <top style="medium">
        <color theme="0" tint="-0.14996795556505021"/>
      </top>
      <bottom style="medium">
        <color theme="0" tint="-0.14996795556505021"/>
      </bottom>
      <diagonal/>
    </border>
    <border>
      <left style="medium">
        <color theme="0" tint="-0.14996795556505021"/>
      </left>
      <right style="medium">
        <color theme="0" tint="-0.14996795556505021"/>
      </right>
      <top style="medium">
        <color theme="0" tint="-0.14996795556505021"/>
      </top>
      <bottom style="medium">
        <color theme="4" tint="-0.499984740745262"/>
      </bottom>
      <diagonal/>
    </border>
    <border>
      <left style="medium">
        <color theme="0" tint="-0.14996795556505021"/>
      </left>
      <right style="medium">
        <color theme="4" tint="-0.499984740745262"/>
      </right>
      <top style="medium">
        <color theme="0" tint="-0.14996795556505021"/>
      </top>
      <bottom style="medium">
        <color theme="4" tint="-0.499984740745262"/>
      </bottom>
      <diagonal/>
    </border>
    <border>
      <left/>
      <right/>
      <top style="thin">
        <color indexed="64"/>
      </top>
      <bottom/>
      <diagonal/>
    </border>
    <border>
      <left/>
      <right style="medium">
        <color theme="0" tint="-0.14996795556505021"/>
      </right>
      <top style="thin">
        <color theme="6"/>
      </top>
      <bottom style="medium">
        <color theme="4" tint="-0.499984740745262"/>
      </bottom>
      <diagonal/>
    </border>
    <border>
      <left style="medium">
        <color theme="4" tint="-0.499984740745262"/>
      </left>
      <right/>
      <top style="medium">
        <color theme="4" tint="-0.499984740745262"/>
      </top>
      <bottom style="medium">
        <color theme="4" tint="-0.499984740745262"/>
      </bottom>
      <diagonal/>
    </border>
    <border>
      <left style="medium">
        <color theme="4" tint="-0.499984740745262"/>
      </left>
      <right/>
      <top style="thin">
        <color theme="6"/>
      </top>
      <bottom/>
      <diagonal/>
    </border>
    <border>
      <left style="medium">
        <color theme="4" tint="-0.499984740745262"/>
      </left>
      <right style="medium">
        <color theme="0" tint="-0.14996795556505021"/>
      </right>
      <top style="thin">
        <color theme="6"/>
      </top>
      <bottom style="medium">
        <color theme="4" tint="-0.499984740745262"/>
      </bottom>
      <diagonal/>
    </border>
    <border>
      <left style="medium">
        <color theme="4" tint="-0.499984740745262"/>
      </left>
      <right style="medium">
        <color theme="0" tint="-0.14996795556505021"/>
      </right>
      <top style="medium">
        <color theme="4" tint="-0.499984740745262"/>
      </top>
      <bottom style="medium">
        <color theme="0" tint="-0.14996795556505021"/>
      </bottom>
      <diagonal/>
    </border>
    <border>
      <left style="medium">
        <color theme="0" tint="-0.14996795556505021"/>
      </left>
      <right style="medium">
        <color theme="0" tint="-0.14996795556505021"/>
      </right>
      <top style="medium">
        <color theme="4" tint="-0.499984740745262"/>
      </top>
      <bottom style="medium">
        <color theme="0" tint="-0.14996795556505021"/>
      </bottom>
      <diagonal/>
    </border>
    <border>
      <left style="medium">
        <color theme="0" tint="-0.14996795556505021"/>
      </left>
      <right style="thin">
        <color theme="0" tint="-0.24994659260841701"/>
      </right>
      <top style="medium">
        <color theme="4" tint="-0.499984740745262"/>
      </top>
      <bottom style="medium">
        <color theme="0" tint="-0.14996795556505021"/>
      </bottom>
      <diagonal/>
    </border>
    <border>
      <left style="medium">
        <color theme="0" tint="-0.14996795556505021"/>
      </left>
      <right style="medium">
        <color theme="4" tint="-0.499984740745262"/>
      </right>
      <top style="medium">
        <color theme="4" tint="-0.499984740745262"/>
      </top>
      <bottom style="medium">
        <color theme="0" tint="-0.14996795556505021"/>
      </bottom>
      <diagonal/>
    </border>
    <border>
      <left style="medium">
        <color theme="4" tint="-0.499984740745262"/>
      </left>
      <right style="medium">
        <color theme="4" tint="-0.499984740745262"/>
      </right>
      <top/>
      <bottom style="medium">
        <color theme="4" tint="-0.499984740745262"/>
      </bottom>
      <diagonal/>
    </border>
    <border>
      <left style="medium">
        <color theme="4" tint="-0.499984740745262"/>
      </left>
      <right style="medium">
        <color theme="4" tint="-0.499984740745262"/>
      </right>
      <top style="medium">
        <color theme="4" tint="-0.499984740745262"/>
      </top>
      <bottom/>
      <diagonal/>
    </border>
    <border>
      <left style="medium">
        <color theme="4" tint="-0.499984740745262"/>
      </left>
      <right style="medium">
        <color theme="4" tint="-0.499984740745262"/>
      </right>
      <top/>
      <bottom/>
      <diagonal/>
    </border>
    <border>
      <left style="thin">
        <color theme="0" tint="-0.24994659260841701"/>
      </left>
      <right style="thin">
        <color theme="0" tint="-0.24994659260841701"/>
      </right>
      <top style="medium">
        <color theme="4" tint="-0.499984740745262"/>
      </top>
      <bottom style="thin">
        <color theme="0" tint="-0.24994659260841701"/>
      </bottom>
      <diagonal/>
    </border>
    <border>
      <left style="thin">
        <color theme="0" tint="-0.24994659260841701"/>
      </left>
      <right style="thin">
        <color theme="0" tint="-0.24994659260841701"/>
      </right>
      <top style="medium">
        <color theme="4" tint="-0.499984740745262"/>
      </top>
      <bottom style="medium">
        <color theme="4" tint="-0.499984740745262"/>
      </bottom>
      <diagonal/>
    </border>
    <border>
      <left style="thin">
        <color theme="0" tint="-0.24994659260841701"/>
      </left>
      <right style="medium">
        <color theme="4" tint="-0.499984740745262"/>
      </right>
      <top style="medium">
        <color theme="4" tint="-0.499984740745262"/>
      </top>
      <bottom style="medium">
        <color theme="4" tint="-0.499984740745262"/>
      </bottom>
      <diagonal/>
    </border>
    <border>
      <left style="medium">
        <color theme="4" tint="-0.499984740745262"/>
      </left>
      <right style="thin">
        <color theme="0" tint="-0.24994659260841701"/>
      </right>
      <top style="medium">
        <color theme="4" tint="-0.499984740745262"/>
      </top>
      <bottom style="thin">
        <color theme="0" tint="-0.24994659260841701"/>
      </bottom>
      <diagonal/>
    </border>
    <border>
      <left style="thin">
        <color theme="0" tint="-0.24994659260841701"/>
      </left>
      <right style="medium">
        <color theme="4" tint="-0.499984740745262"/>
      </right>
      <top style="medium">
        <color theme="4" tint="-0.499984740745262"/>
      </top>
      <bottom style="thin">
        <color theme="0" tint="-0.24994659260841701"/>
      </bottom>
      <diagonal/>
    </border>
    <border>
      <left style="medium">
        <color theme="4" tint="-0.499984740745262"/>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theme="4" tint="-0.499984740745262"/>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medium">
        <color theme="4" tint="-0.499984740745262"/>
      </bottom>
      <diagonal/>
    </border>
    <border>
      <left style="thin">
        <color theme="0" tint="-0.24994659260841701"/>
      </left>
      <right style="medium">
        <color theme="4" tint="-0.499984740745262"/>
      </right>
      <top style="thin">
        <color theme="0" tint="-0.24994659260841701"/>
      </top>
      <bottom/>
      <diagonal/>
    </border>
    <border>
      <left style="thin">
        <color theme="0" tint="-0.24994659260841701"/>
      </left>
      <right/>
      <top style="medium">
        <color theme="4" tint="-0.499984740745262"/>
      </top>
      <bottom style="thin">
        <color theme="0" tint="-0.24994659260841701"/>
      </bottom>
      <diagonal/>
    </border>
    <border>
      <left/>
      <right style="medium">
        <color theme="4" tint="-0.499984740745262"/>
      </right>
      <top style="medium">
        <color theme="4" tint="-0.499984740745262"/>
      </top>
      <bottom style="thin">
        <color theme="0" tint="-0.24994659260841701"/>
      </bottom>
      <diagonal/>
    </border>
    <border>
      <left style="thin">
        <color theme="0" tint="-0.24994659260841701"/>
      </left>
      <right style="medium">
        <color theme="4" tint="-0.499984740745262"/>
      </right>
      <top/>
      <bottom style="thin">
        <color theme="0" tint="-0.24994659260841701"/>
      </bottom>
      <diagonal/>
    </border>
    <border>
      <left style="medium">
        <color theme="4" tint="-0.499984740745262"/>
      </left>
      <right style="thin">
        <color theme="0" tint="-0.24994659260841701"/>
      </right>
      <top style="thin">
        <color theme="0" tint="-0.24994659260841701"/>
      </top>
      <bottom/>
      <diagonal/>
    </border>
    <border>
      <left style="medium">
        <color theme="4" tint="-0.499984740745262"/>
      </left>
      <right style="thin">
        <color theme="0" tint="-0.24994659260841701"/>
      </right>
      <top/>
      <bottom style="thin">
        <color theme="0" tint="-0.24994659260841701"/>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
      <left/>
      <right/>
      <top style="thin">
        <color theme="4"/>
      </top>
      <bottom/>
      <diagonal/>
    </border>
    <border>
      <left style="thin">
        <color theme="4" tint="-0.499984740745262"/>
      </left>
      <right/>
      <top style="thin">
        <color theme="4" tint="-0.499984740745262"/>
      </top>
      <bottom/>
      <diagonal/>
    </border>
    <border>
      <left/>
      <right/>
      <top style="thin">
        <color theme="4" tint="-0.499984740745262"/>
      </top>
      <bottom/>
      <diagonal/>
    </border>
    <border>
      <left/>
      <right style="thin">
        <color theme="4" tint="-0.499984740745262"/>
      </right>
      <top style="thin">
        <color theme="4" tint="-0.499984740745262"/>
      </top>
      <bottom/>
      <diagonal/>
    </border>
    <border>
      <left style="thin">
        <color theme="4" tint="-0.499984740745262"/>
      </left>
      <right/>
      <top/>
      <bottom/>
      <diagonal/>
    </border>
    <border>
      <left/>
      <right style="thin">
        <color theme="4" tint="-0.499984740745262"/>
      </right>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style="thin">
        <color theme="0"/>
      </bottom>
      <diagonal/>
    </border>
    <border>
      <left style="medium">
        <color theme="0" tint="-0.14996795556505021"/>
      </left>
      <right/>
      <top style="medium">
        <color theme="0" tint="-0.14996795556505021"/>
      </top>
      <bottom style="medium">
        <color theme="4" tint="-0.499984740745262"/>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auto="1"/>
      </left>
      <right style="thin">
        <color auto="1"/>
      </right>
      <top style="thin">
        <color auto="1"/>
      </top>
      <bottom style="thin">
        <color auto="1"/>
      </bottom>
      <diagonal/>
    </border>
    <border>
      <left/>
      <right style="thin">
        <color theme="4" tint="-0.499984740745262"/>
      </right>
      <top style="thin">
        <color theme="4" tint="-0.499984740745262"/>
      </top>
      <bottom style="thin">
        <color theme="4" tint="-0.499984740745262"/>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diagonal/>
    </border>
    <border>
      <left style="thin">
        <color theme="4" tint="-0.499984740745262"/>
      </left>
      <right style="thin">
        <color theme="4" tint="-0.499984740745262"/>
      </right>
      <top/>
      <bottom/>
      <diagonal/>
    </border>
    <border>
      <left style="medium">
        <color theme="4" tint="-0.499984740745262"/>
      </left>
      <right/>
      <top style="thin">
        <color theme="6"/>
      </top>
      <bottom style="medium">
        <color theme="4" tint="-0.499984740745262"/>
      </bottom>
      <diagonal/>
    </border>
    <border>
      <left style="thin">
        <color theme="0" tint="-0.24994659260841701"/>
      </left>
      <right style="medium">
        <color theme="4" tint="-0.499984740745262"/>
      </right>
      <top style="thin">
        <color theme="0" tint="-0.24994659260841701"/>
      </top>
      <bottom style="medium">
        <color theme="4"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theme="4" tint="-0.499984740745262"/>
      </left>
      <right style="medium">
        <color theme="4" tint="-0.499984740745262"/>
      </right>
      <top style="medium">
        <color theme="4" tint="-0.499984740745262"/>
      </top>
      <bottom style="medium">
        <color theme="4" tint="-0.499984740745262"/>
      </bottom>
      <diagonal/>
    </border>
    <border>
      <left style="thin">
        <color theme="0" tint="-0.24994659260841701"/>
      </left>
      <right/>
      <top style="thin">
        <color theme="0" tint="-0.24994659260841701"/>
      </top>
      <bottom/>
      <diagonal/>
    </border>
    <border>
      <left/>
      <right style="medium">
        <color theme="4" tint="-0.499984740745262"/>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style="thin">
        <color theme="0" tint="-0.24994659260841701"/>
      </right>
      <top style="medium">
        <color theme="4" tint="-0.499984740745262"/>
      </top>
      <bottom/>
      <diagonal/>
    </border>
    <border>
      <left/>
      <right style="thin">
        <color theme="0" tint="-0.24994659260841701"/>
      </right>
      <top style="medium">
        <color theme="4" tint="-0.499984740745262"/>
      </top>
      <bottom style="medium">
        <color theme="4" tint="-0.499984740745262"/>
      </bottom>
      <diagonal/>
    </border>
    <border>
      <left/>
      <right style="thin">
        <color theme="0" tint="-0.24994659260841701"/>
      </right>
      <top/>
      <bottom style="medium">
        <color theme="4" tint="-0.499984740745262"/>
      </bottom>
      <diagonal/>
    </border>
    <border>
      <left/>
      <right/>
      <top/>
      <bottom style="thin">
        <color indexed="64"/>
      </bottom>
      <diagonal/>
    </border>
    <border>
      <left/>
      <right style="thin">
        <color theme="0" tint="-0.14996795556505021"/>
      </right>
      <top style="medium">
        <color theme="4" tint="-0.499984740745262"/>
      </top>
      <bottom/>
      <diagonal/>
    </border>
    <border>
      <left/>
      <right style="thin">
        <color theme="0" tint="-0.14996795556505021"/>
      </right>
      <top/>
      <bottom/>
      <diagonal/>
    </border>
    <border>
      <left/>
      <right style="thin">
        <color theme="0" tint="-0.14996795556505021"/>
      </right>
      <top/>
      <bottom style="medium">
        <color theme="4" tint="-0.499984740745262"/>
      </bottom>
      <diagonal/>
    </border>
    <border>
      <left/>
      <right style="thin">
        <color theme="0" tint="-0.14996795556505021"/>
      </right>
      <top style="medium">
        <color theme="4" tint="-0.499984740745262"/>
      </top>
      <bottom style="medium">
        <color theme="4" tint="-0.499984740745262"/>
      </bottom>
      <diagonal/>
    </border>
    <border>
      <left/>
      <right style="thin">
        <color theme="6"/>
      </right>
      <top style="thin">
        <color theme="6"/>
      </top>
      <bottom/>
      <diagonal/>
    </border>
    <border>
      <left style="thin">
        <color theme="4" tint="-0.499984740745262"/>
      </left>
      <right/>
      <top style="thin">
        <color theme="4" tint="-0.499984740745262"/>
      </top>
      <bottom style="thin">
        <color theme="4" tint="-0.499984740745262"/>
      </bottom>
      <diagonal/>
    </border>
    <border>
      <left style="thin">
        <color theme="4" tint="-0.499984740745262"/>
      </left>
      <right style="thin">
        <color theme="4" tint="-0.499984740745262"/>
      </right>
      <top style="thin">
        <color theme="4" tint="-0.499984740745262"/>
      </top>
      <bottom/>
      <diagonal/>
    </border>
    <border>
      <left/>
      <right style="medium">
        <color theme="4" tint="-0.499984740745262"/>
      </right>
      <top style="medium">
        <color theme="4" tint="-0.499984740745262"/>
      </top>
      <bottom style="thin">
        <color theme="0" tint="-0.14996795556505021"/>
      </bottom>
      <diagonal/>
    </border>
    <border>
      <left/>
      <right style="medium">
        <color theme="4" tint="-0.499984740745262"/>
      </right>
      <top style="thin">
        <color theme="0" tint="-0.14996795556505021"/>
      </top>
      <bottom style="thin">
        <color theme="0" tint="-0.14996795556505021"/>
      </bottom>
      <diagonal/>
    </border>
    <border>
      <left/>
      <right style="medium">
        <color theme="4" tint="-0.499984740745262"/>
      </right>
      <top style="thin">
        <color theme="0" tint="-0.14996795556505021"/>
      </top>
      <bottom style="medium">
        <color theme="4" tint="-0.499984740745262"/>
      </bottom>
      <diagonal/>
    </border>
    <border>
      <left/>
      <right style="thin">
        <color theme="0" tint="-0.24994659260841701"/>
      </right>
      <top style="thin">
        <color theme="0" tint="-0.24994659260841701"/>
      </top>
      <bottom/>
      <diagonal/>
    </border>
    <border>
      <left style="thick">
        <color theme="4" tint="-0.499984740745262"/>
      </left>
      <right style="thick">
        <color theme="4" tint="-0.499984740745262"/>
      </right>
      <top style="thick">
        <color theme="4" tint="-0.499984740745262"/>
      </top>
      <bottom style="thick">
        <color theme="4" tint="-0.499984740745262"/>
      </bottom>
      <diagonal/>
    </border>
    <border>
      <left style="thin">
        <color theme="0" tint="-0.14996795556505021"/>
      </left>
      <right style="thin">
        <color theme="0" tint="-0.24994659260841701"/>
      </right>
      <top/>
      <bottom style="medium">
        <color theme="4" tint="-0.499984740745262"/>
      </bottom>
      <diagonal/>
    </border>
    <border>
      <left style="thin">
        <color theme="0" tint="-0.14996795556505021"/>
      </left>
      <right style="thin">
        <color theme="0" tint="-0.24994659260841701"/>
      </right>
      <top/>
      <bottom/>
      <diagonal/>
    </border>
    <border>
      <left style="medium">
        <color theme="4" tint="-0.499984740745262"/>
      </left>
      <right style="medium">
        <color theme="0" tint="-0.14996795556505021"/>
      </right>
      <top style="thin">
        <color theme="6"/>
      </top>
      <bottom style="medium">
        <color theme="0" tint="-0.14996795556505021"/>
      </bottom>
      <diagonal/>
    </border>
    <border>
      <left style="medium">
        <color theme="4" tint="-0.499984740745262"/>
      </left>
      <right style="medium">
        <color theme="0" tint="-0.14996795556505021"/>
      </right>
      <top style="thin">
        <color theme="6"/>
      </top>
      <bottom/>
      <diagonal/>
    </border>
    <border>
      <left style="medium">
        <color theme="4" tint="-0.499984740745262"/>
      </left>
      <right style="medium">
        <color theme="0" tint="-0.14996795556505021"/>
      </right>
      <top style="thin">
        <color theme="6"/>
      </top>
      <bottom style="thin">
        <color theme="0" tint="-0.14996795556505021"/>
      </bottom>
      <diagonal/>
    </border>
    <border>
      <left style="thin">
        <color theme="6"/>
      </left>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style="medium">
        <color theme="4" tint="-0.499984740745262"/>
      </left>
      <right/>
      <top style="medium">
        <color theme="4" tint="-0.499984740745262"/>
      </top>
      <bottom style="medium">
        <color theme="0" tint="-0.14996795556505021"/>
      </bottom>
      <diagonal/>
    </border>
    <border>
      <left/>
      <right/>
      <top style="medium">
        <color theme="4" tint="-0.499984740745262"/>
      </top>
      <bottom style="medium">
        <color theme="0" tint="-0.14996795556505021"/>
      </bottom>
      <diagonal/>
    </border>
    <border>
      <left/>
      <right style="medium">
        <color theme="4" tint="-0.499984740745262"/>
      </right>
      <top style="medium">
        <color theme="4" tint="-0.499984740745262"/>
      </top>
      <bottom style="medium">
        <color theme="0" tint="-0.14996795556505021"/>
      </bottom>
      <diagonal/>
    </border>
    <border>
      <left/>
      <right/>
      <top style="medium">
        <color theme="0" tint="-0.14996795556505021"/>
      </top>
      <bottom style="medium">
        <color theme="0" tint="-0.14996795556505021"/>
      </bottom>
      <diagonal/>
    </border>
    <border>
      <left/>
      <right style="medium">
        <color theme="4" tint="-0.499984740745262"/>
      </right>
      <top style="medium">
        <color theme="0" tint="-0.14996795556505021"/>
      </top>
      <bottom style="medium">
        <color theme="0" tint="-0.14996795556505021"/>
      </bottom>
      <diagonal/>
    </border>
    <border>
      <left/>
      <right/>
      <top style="medium">
        <color theme="0" tint="-0.14996795556505021"/>
      </top>
      <bottom style="medium">
        <color theme="4" tint="-0.499984740745262"/>
      </bottom>
      <diagonal/>
    </border>
    <border>
      <left/>
      <right style="medium">
        <color theme="4" tint="-0.499984740745262"/>
      </right>
      <top style="medium">
        <color theme="0" tint="-0.14996795556505021"/>
      </top>
      <bottom style="medium">
        <color theme="4" tint="-0.499984740745262"/>
      </bottom>
      <diagonal/>
    </border>
    <border>
      <left/>
      <right/>
      <top style="thin">
        <color theme="4" tint="-0.24994659260841701"/>
      </top>
      <bottom/>
      <diagonal/>
    </border>
    <border>
      <left style="thin">
        <color auto="1"/>
      </left>
      <right style="thin">
        <color theme="4" tint="-0.499984740745262"/>
      </right>
      <top style="thin">
        <color auto="1"/>
      </top>
      <bottom style="thin">
        <color auto="1"/>
      </bottom>
      <diagonal/>
    </border>
    <border>
      <left style="thin">
        <color theme="4" tint="-0.499984740745262"/>
      </left>
      <right style="thin">
        <color theme="4" tint="-0.499984740745262"/>
      </right>
      <top style="thin">
        <color auto="1"/>
      </top>
      <bottom style="thin">
        <color auto="1"/>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right style="thin">
        <color theme="2" tint="-9.9948118533890809E-2"/>
      </right>
      <top/>
      <bottom/>
      <diagonal/>
    </border>
    <border>
      <left/>
      <right style="thin">
        <color theme="2" tint="-9.9948118533890809E-2"/>
      </right>
      <top/>
      <bottom style="thick">
        <color theme="4" tint="-0.499984740745262"/>
      </bottom>
      <diagonal/>
    </border>
    <border>
      <left style="thin">
        <color theme="2" tint="-9.9948118533890809E-2"/>
      </left>
      <right/>
      <top/>
      <bottom style="thin">
        <color theme="2" tint="-9.9917600024414813E-2"/>
      </bottom>
      <diagonal/>
    </border>
    <border>
      <left/>
      <right style="thick">
        <color theme="4" tint="-0.499984740745262"/>
      </right>
      <top/>
      <bottom style="thin">
        <color theme="2" tint="-9.9917600024414813E-2"/>
      </bottom>
      <diagonal/>
    </border>
    <border>
      <left style="thin">
        <color theme="2" tint="-9.9948118533890809E-2"/>
      </left>
      <right/>
      <top style="thin">
        <color theme="2" tint="-9.9917600024414813E-2"/>
      </top>
      <bottom style="thin">
        <color theme="2" tint="-9.9917600024414813E-2"/>
      </bottom>
      <diagonal/>
    </border>
    <border>
      <left/>
      <right style="thick">
        <color theme="4" tint="-0.499984740745262"/>
      </right>
      <top style="thin">
        <color theme="2" tint="-9.9917600024414813E-2"/>
      </top>
      <bottom style="thin">
        <color theme="2" tint="-9.9917600024414813E-2"/>
      </bottom>
      <diagonal/>
    </border>
    <border>
      <left style="thin">
        <color theme="2" tint="-9.9948118533890809E-2"/>
      </left>
      <right/>
      <top style="thin">
        <color theme="2" tint="-9.9917600024414813E-2"/>
      </top>
      <bottom style="thick">
        <color theme="4" tint="-0.499984740745262"/>
      </bottom>
      <diagonal/>
    </border>
    <border>
      <left/>
      <right style="thick">
        <color theme="4" tint="-0.499984740745262"/>
      </right>
      <top style="thin">
        <color theme="2" tint="-9.9917600024414813E-2"/>
      </top>
      <bottom style="thick">
        <color theme="4" tint="-0.499984740745262"/>
      </bottom>
      <diagonal/>
    </border>
    <border>
      <left style="thin">
        <color theme="4"/>
      </left>
      <right/>
      <top style="thin">
        <color theme="4"/>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diagonal/>
    </border>
    <border>
      <left style="thin">
        <color theme="2" tint="-0.24994659260841701"/>
      </left>
      <right/>
      <top style="thin">
        <color theme="2" tint="-0.24994659260841701"/>
      </top>
      <bottom/>
      <diagonal/>
    </border>
    <border>
      <left/>
      <right style="thin">
        <color theme="4" tint="-0.499984740745262"/>
      </right>
      <top/>
      <bottom style="thin">
        <color theme="2" tint="-0.24994659260841701"/>
      </bottom>
      <diagonal/>
    </border>
    <border>
      <left style="thin">
        <color theme="4" tint="-0.499984740745262"/>
      </left>
      <right style="thin">
        <color theme="4" tint="-0.499984740745262"/>
      </right>
      <top/>
      <bottom style="thin">
        <color theme="2" tint="-0.24994659260841701"/>
      </bottom>
      <diagonal/>
    </border>
    <border>
      <left style="thin">
        <color theme="4" tint="-0.499984740745262"/>
      </left>
      <right/>
      <top/>
      <bottom style="thin">
        <color theme="2" tint="-0.24994659260841701"/>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theme="2" tint="-0.24994659260841701"/>
      </top>
      <bottom/>
      <diagonal/>
    </border>
    <border>
      <left/>
      <right style="thin">
        <color theme="2" tint="-0.24994659260841701"/>
      </right>
      <top/>
      <bottom/>
      <diagonal/>
    </border>
    <border>
      <left/>
      <right style="thin">
        <color theme="2" tint="-0.24994659260841701"/>
      </right>
      <top/>
      <bottom style="thin">
        <color theme="2" tint="-0.24994659260841701"/>
      </bottom>
      <diagonal/>
    </border>
    <border>
      <left/>
      <right style="thick">
        <color theme="4" tint="-0.499984740745262"/>
      </right>
      <top style="thick">
        <color theme="4" tint="-0.499984740745262"/>
      </top>
      <bottom style="thick">
        <color theme="4" tint="-0.499984740745262"/>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
      <left style="thin">
        <color theme="2" tint="-9.9948118533890809E-2"/>
      </left>
      <right style="thin">
        <color theme="2" tint="-9.9948118533890809E-2"/>
      </right>
      <top style="thin">
        <color theme="2" tint="-9.9948118533890809E-2"/>
      </top>
      <bottom/>
      <diagonal/>
    </border>
    <border>
      <left style="thin">
        <color theme="2" tint="-9.9948118533890809E-2"/>
      </left>
      <right/>
      <top style="thin">
        <color theme="2" tint="-9.9948118533890809E-2"/>
      </top>
      <bottom/>
      <diagonal/>
    </border>
    <border>
      <left/>
      <right style="thin">
        <color theme="2" tint="-9.9948118533890809E-2"/>
      </right>
      <top style="thin">
        <color theme="2" tint="-9.9948118533890809E-2"/>
      </top>
      <bottom/>
      <diagonal/>
    </border>
    <border>
      <left style="thin">
        <color theme="6"/>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auto="1"/>
      </left>
      <right style="thin">
        <color auto="1"/>
      </right>
      <top style="thin">
        <color auto="1"/>
      </top>
      <bottom style="thin">
        <color theme="4" tint="-0.499984740745262"/>
      </bottom>
      <diagonal/>
    </border>
    <border>
      <left style="thin">
        <color auto="1"/>
      </left>
      <right style="thin">
        <color auto="1"/>
      </right>
      <top/>
      <bottom style="thin">
        <color auto="1"/>
      </bottom>
      <diagonal/>
    </border>
  </borders>
  <cellStyleXfs count="8">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36" fillId="0" borderId="0" applyNumberFormat="0" applyFill="0" applyBorder="0" applyAlignment="0" applyProtection="0"/>
  </cellStyleXfs>
  <cellXfs count="879">
    <xf numFmtId="0" fontId="0" fillId="0" borderId="0" xfId="0"/>
    <xf numFmtId="0" fontId="0" fillId="2" borderId="0" xfId="0" applyFill="1"/>
    <xf numFmtId="0" fontId="6" fillId="3" borderId="0" xfId="0" applyFont="1" applyFill="1" applyBorder="1" applyAlignment="1">
      <alignment horizontal="left"/>
    </xf>
    <xf numFmtId="0" fontId="0" fillId="2" borderId="0" xfId="0" applyFill="1" applyAlignment="1">
      <alignment vertical="center"/>
    </xf>
    <xf numFmtId="0" fontId="5" fillId="2" borderId="1" xfId="0" applyFont="1" applyFill="1" applyBorder="1" applyAlignment="1">
      <alignment horizontal="left"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0" fillId="2" borderId="0" xfId="0" applyFill="1" applyAlignment="1">
      <alignment horizontal="center" vertical="center"/>
    </xf>
    <xf numFmtId="170" fontId="7" fillId="0" borderId="11" xfId="0" applyNumberFormat="1" applyFont="1" applyBorder="1" applyAlignment="1">
      <alignment horizontal="center" vertical="center"/>
    </xf>
    <xf numFmtId="0" fontId="6" fillId="0" borderId="9" xfId="0" applyFont="1" applyBorder="1" applyAlignment="1">
      <alignment horizontal="center" vertical="center"/>
    </xf>
    <xf numFmtId="0" fontId="6" fillId="0" borderId="7" xfId="0" applyFont="1" applyBorder="1" applyAlignment="1">
      <alignment horizontal="center" vertical="center"/>
    </xf>
    <xf numFmtId="0" fontId="6" fillId="0" borderId="2" xfId="0" applyFont="1" applyBorder="1" applyAlignment="1">
      <alignment horizontal="center" vertical="center"/>
    </xf>
    <xf numFmtId="0" fontId="6" fillId="0" borderId="8" xfId="0" applyFont="1" applyBorder="1" applyAlignment="1">
      <alignment horizontal="center"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169" fontId="7" fillId="0" borderId="23" xfId="0" applyNumberFormat="1" applyFont="1" applyBorder="1" applyAlignment="1">
      <alignment horizontal="center" vertical="center"/>
    </xf>
    <xf numFmtId="0" fontId="6" fillId="0" borderId="1" xfId="0" applyFont="1" applyBorder="1" applyAlignment="1">
      <alignment horizontal="center" vertical="center"/>
    </xf>
    <xf numFmtId="0" fontId="6" fillId="0" borderId="14" xfId="0" applyFont="1" applyBorder="1" applyAlignment="1">
      <alignment horizontal="center" vertical="center"/>
    </xf>
    <xf numFmtId="0" fontId="6" fillId="0" borderId="24" xfId="0" applyFont="1" applyBorder="1" applyAlignment="1">
      <alignment horizontal="center" vertical="center"/>
    </xf>
    <xf numFmtId="0" fontId="6" fillId="0" borderId="13" xfId="0" applyFont="1" applyBorder="1" applyAlignment="1">
      <alignment horizontal="center" vertical="center"/>
    </xf>
    <xf numFmtId="0" fontId="6" fillId="0" borderId="17" xfId="0" applyFont="1" applyBorder="1" applyAlignment="1">
      <alignment horizontal="center" vertical="center"/>
    </xf>
    <xf numFmtId="0" fontId="0" fillId="0" borderId="18" xfId="0" applyBorder="1"/>
    <xf numFmtId="0" fontId="0" fillId="0" borderId="0" xfId="0" applyBorder="1"/>
    <xf numFmtId="16" fontId="6" fillId="0" borderId="24" xfId="0" applyNumberFormat="1" applyFont="1" applyBorder="1" applyAlignment="1">
      <alignment horizontal="center" vertical="center"/>
    </xf>
    <xf numFmtId="0" fontId="0" fillId="2" borderId="0" xfId="0" applyFill="1" applyBorder="1"/>
    <xf numFmtId="0" fontId="4" fillId="2" borderId="0" xfId="0" applyFont="1" applyFill="1" applyAlignment="1"/>
    <xf numFmtId="169" fontId="7" fillId="0" borderId="25" xfId="0" applyNumberFormat="1" applyFont="1" applyBorder="1" applyAlignment="1">
      <alignment horizontal="center" vertical="center"/>
    </xf>
    <xf numFmtId="169" fontId="7" fillId="0" borderId="26" xfId="0" applyNumberFormat="1" applyFont="1" applyBorder="1" applyAlignment="1">
      <alignment horizontal="center" vertical="center"/>
    </xf>
    <xf numFmtId="169" fontId="7" fillId="0" borderId="28" xfId="0" applyNumberFormat="1" applyFont="1" applyBorder="1" applyAlignment="1">
      <alignment horizontal="center" vertical="center"/>
    </xf>
    <xf numFmtId="9" fontId="3" fillId="5" borderId="31" xfId="3" applyFont="1" applyFill="1" applyBorder="1"/>
    <xf numFmtId="0" fontId="3" fillId="0" borderId="31" xfId="0" applyFont="1" applyBorder="1"/>
    <xf numFmtId="9" fontId="0" fillId="0" borderId="0" xfId="3" applyFont="1"/>
    <xf numFmtId="14" fontId="0" fillId="0" borderId="0" xfId="0" applyNumberFormat="1"/>
    <xf numFmtId="10" fontId="3" fillId="5" borderId="0" xfId="0" applyNumberFormat="1" applyFont="1" applyFill="1" applyAlignment="1">
      <alignment horizontal="center"/>
    </xf>
    <xf numFmtId="10" fontId="0" fillId="0" borderId="0" xfId="0" applyNumberFormat="1" applyAlignment="1">
      <alignment horizontal="center"/>
    </xf>
    <xf numFmtId="168" fontId="0" fillId="0" borderId="0" xfId="0" applyNumberFormat="1"/>
    <xf numFmtId="0" fontId="0" fillId="0" borderId="0" xfId="0" applyAlignment="1">
      <alignment horizontal="left"/>
    </xf>
    <xf numFmtId="0" fontId="3" fillId="0" borderId="0" xfId="0" applyFont="1"/>
    <xf numFmtId="0" fontId="9" fillId="0" borderId="0" xfId="0" applyFont="1" applyAlignment="1">
      <alignment horizontal="center"/>
    </xf>
    <xf numFmtId="10" fontId="3" fillId="0" borderId="0" xfId="0" applyNumberFormat="1" applyFont="1" applyAlignment="1">
      <alignment horizontal="center"/>
    </xf>
    <xf numFmtId="168" fontId="3" fillId="0" borderId="0" xfId="0" applyNumberFormat="1" applyFont="1"/>
    <xf numFmtId="0" fontId="3" fillId="0" borderId="0" xfId="0" applyFont="1" applyAlignment="1">
      <alignment horizontal="left"/>
    </xf>
    <xf numFmtId="8" fontId="0" fillId="0" borderId="0" xfId="0" applyNumberFormat="1"/>
    <xf numFmtId="2" fontId="7" fillId="0" borderId="1" xfId="2" applyNumberFormat="1" applyFont="1" applyBorder="1" applyAlignment="1">
      <alignment horizontal="center" vertical="center"/>
    </xf>
    <xf numFmtId="0" fontId="6" fillId="6" borderId="3" xfId="0" applyFont="1" applyFill="1" applyBorder="1"/>
    <xf numFmtId="0" fontId="6" fillId="6" borderId="32" xfId="0" applyFont="1" applyFill="1" applyBorder="1"/>
    <xf numFmtId="0" fontId="5" fillId="2" borderId="21" xfId="0" applyFont="1" applyFill="1" applyBorder="1" applyAlignment="1">
      <alignment horizontal="left" vertical="center"/>
    </xf>
    <xf numFmtId="0" fontId="6" fillId="0" borderId="18" xfId="0" applyFont="1" applyBorder="1" applyAlignment="1">
      <alignment horizontal="center" vertical="center"/>
    </xf>
    <xf numFmtId="2" fontId="6" fillId="0" borderId="1" xfId="0" applyNumberFormat="1" applyFont="1" applyBorder="1"/>
    <xf numFmtId="0" fontId="6" fillId="0" borderId="1" xfId="0" applyFont="1" applyBorder="1"/>
    <xf numFmtId="44" fontId="6" fillId="0" borderId="17" xfId="2" applyFont="1" applyBorder="1"/>
    <xf numFmtId="0" fontId="6" fillId="2" borderId="0" xfId="0" applyFont="1" applyFill="1"/>
    <xf numFmtId="0" fontId="6" fillId="0" borderId="12" xfId="0" applyFont="1" applyBorder="1" applyAlignment="1">
      <alignment horizontal="center" vertical="center"/>
    </xf>
    <xf numFmtId="0" fontId="4" fillId="2" borderId="0" xfId="0" applyFont="1" applyFill="1"/>
    <xf numFmtId="44" fontId="6" fillId="0" borderId="20" xfId="2" applyFont="1" applyBorder="1" applyAlignment="1">
      <alignment horizontal="center" vertical="center"/>
    </xf>
    <xf numFmtId="0" fontId="6" fillId="0" borderId="23" xfId="0" applyNumberFormat="1" applyFont="1" applyBorder="1" applyAlignment="1">
      <alignment horizontal="center" vertical="center"/>
    </xf>
    <xf numFmtId="0" fontId="6" fillId="0" borderId="10" xfId="0" applyFont="1" applyBorder="1" applyAlignment="1">
      <alignment horizontal="center" vertical="center"/>
    </xf>
    <xf numFmtId="44" fontId="7" fillId="0" borderId="9" xfId="2" applyFont="1" applyBorder="1" applyAlignment="1">
      <alignment horizontal="center" vertical="center"/>
    </xf>
    <xf numFmtId="44" fontId="6" fillId="0" borderId="23" xfId="2" applyFont="1" applyBorder="1" applyAlignment="1">
      <alignment horizontal="center" vertical="center"/>
    </xf>
    <xf numFmtId="0" fontId="6" fillId="0" borderId="1" xfId="0" applyFont="1" applyFill="1" applyBorder="1" applyAlignment="1">
      <alignment horizontal="left"/>
    </xf>
    <xf numFmtId="0" fontId="5" fillId="2" borderId="0" xfId="0" applyFont="1" applyFill="1" applyBorder="1" applyAlignment="1"/>
    <xf numFmtId="0" fontId="3" fillId="0" borderId="17" xfId="0" applyFont="1" applyFill="1" applyBorder="1"/>
    <xf numFmtId="0" fontId="6" fillId="2" borderId="21" xfId="0" applyFont="1" applyFill="1" applyBorder="1" applyAlignment="1">
      <alignment horizontal="center" vertical="center"/>
    </xf>
    <xf numFmtId="170" fontId="7" fillId="0" borderId="0" xfId="0" applyNumberFormat="1" applyFont="1" applyBorder="1" applyAlignment="1">
      <alignment horizontal="center" vertical="center"/>
    </xf>
    <xf numFmtId="170" fontId="7" fillId="0" borderId="1" xfId="0" applyNumberFormat="1" applyFont="1" applyBorder="1" applyAlignment="1">
      <alignment horizontal="center" vertical="center"/>
    </xf>
    <xf numFmtId="0" fontId="7" fillId="0" borderId="0" xfId="0" applyFont="1" applyBorder="1"/>
    <xf numFmtId="0" fontId="7" fillId="2" borderId="0" xfId="0" applyFont="1" applyFill="1" applyBorder="1"/>
    <xf numFmtId="0" fontId="6" fillId="2" borderId="0" xfId="0" applyFont="1" applyFill="1" applyBorder="1" applyAlignment="1">
      <alignment horizontal="center" vertical="center"/>
    </xf>
    <xf numFmtId="0" fontId="6" fillId="7" borderId="0" xfId="0" applyFont="1" applyFill="1" applyBorder="1"/>
    <xf numFmtId="2" fontId="7" fillId="0" borderId="8" xfId="2" applyNumberFormat="1" applyFont="1" applyBorder="1" applyAlignment="1">
      <alignment horizontal="center" vertical="center"/>
    </xf>
    <xf numFmtId="0" fontId="7" fillId="0" borderId="14" xfId="0" applyFont="1" applyBorder="1" applyAlignment="1">
      <alignment horizontal="center" vertical="center"/>
    </xf>
    <xf numFmtId="0" fontId="7" fillId="0" borderId="1" xfId="1" applyNumberFormat="1" applyFont="1" applyBorder="1" applyAlignment="1">
      <alignment horizontal="center" vertical="center"/>
    </xf>
    <xf numFmtId="0" fontId="7" fillId="0" borderId="8" xfId="0" applyFont="1" applyBorder="1" applyAlignment="1">
      <alignment horizontal="center" vertical="center"/>
    </xf>
    <xf numFmtId="2" fontId="7" fillId="0" borderId="1" xfId="0" applyNumberFormat="1" applyFont="1" applyBorder="1" applyAlignment="1">
      <alignment horizontal="center" vertical="center"/>
    </xf>
    <xf numFmtId="44" fontId="7" fillId="0" borderId="17" xfId="2" applyFont="1" applyBorder="1" applyAlignment="1">
      <alignment horizontal="center" vertical="center"/>
    </xf>
    <xf numFmtId="0" fontId="7" fillId="2" borderId="0" xfId="0" applyFont="1" applyFill="1"/>
    <xf numFmtId="0" fontId="7" fillId="0" borderId="1" xfId="0" applyFont="1" applyBorder="1" applyAlignment="1">
      <alignment horizontal="center" vertical="center"/>
    </xf>
    <xf numFmtId="0" fontId="7" fillId="0" borderId="21" xfId="0" applyFont="1" applyBorder="1" applyAlignment="1">
      <alignment horizontal="center" vertical="center"/>
    </xf>
    <xf numFmtId="0" fontId="6" fillId="0" borderId="18" xfId="0" applyFont="1" applyBorder="1" applyAlignment="1">
      <alignment vertical="center"/>
    </xf>
    <xf numFmtId="0" fontId="7" fillId="0" borderId="0" xfId="0" applyFont="1" applyBorder="1" applyAlignment="1">
      <alignment horizontal="center" vertical="center"/>
    </xf>
    <xf numFmtId="0" fontId="6" fillId="6" borderId="34" xfId="0" applyFont="1" applyFill="1" applyBorder="1"/>
    <xf numFmtId="0" fontId="6" fillId="6" borderId="35" xfId="0" applyFont="1" applyFill="1" applyBorder="1"/>
    <xf numFmtId="0" fontId="6" fillId="2" borderId="24" xfId="0" applyFont="1" applyFill="1" applyBorder="1" applyAlignment="1">
      <alignment horizontal="center" vertical="center"/>
    </xf>
    <xf numFmtId="0" fontId="6" fillId="2" borderId="18" xfId="0" applyFont="1" applyFill="1" applyBorder="1" applyAlignment="1">
      <alignment horizontal="center" vertical="center"/>
    </xf>
    <xf numFmtId="0" fontId="6" fillId="2" borderId="33" xfId="0" applyFont="1" applyFill="1" applyBorder="1" applyAlignment="1">
      <alignment horizontal="center" vertical="center"/>
    </xf>
    <xf numFmtId="0" fontId="6" fillId="0" borderId="36" xfId="0" applyFont="1"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7" fillId="0" borderId="9" xfId="0" applyFont="1" applyBorder="1" applyAlignment="1">
      <alignment horizontal="center" vertical="center"/>
    </xf>
    <xf numFmtId="0" fontId="7" fillId="0" borderId="25" xfId="0" applyFont="1" applyBorder="1" applyAlignment="1">
      <alignment horizontal="center"/>
    </xf>
    <xf numFmtId="2" fontId="7" fillId="0" borderId="25" xfId="0" applyNumberFormat="1" applyFont="1" applyBorder="1" applyAlignment="1">
      <alignment horizontal="center"/>
    </xf>
    <xf numFmtId="0" fontId="7" fillId="0" borderId="27" xfId="0" applyFont="1" applyBorder="1" applyAlignment="1">
      <alignment horizontal="center"/>
    </xf>
    <xf numFmtId="0" fontId="7" fillId="0" borderId="28" xfId="0" applyFont="1" applyBorder="1" applyAlignment="1">
      <alignment horizontal="center"/>
    </xf>
    <xf numFmtId="0" fontId="7" fillId="3" borderId="25" xfId="0" applyFont="1" applyFill="1" applyBorder="1" applyAlignment="1">
      <alignment horizontal="center"/>
    </xf>
    <xf numFmtId="0" fontId="7" fillId="3" borderId="28" xfId="0" applyFont="1" applyFill="1" applyBorder="1" applyAlignment="1">
      <alignment horizontal="center"/>
    </xf>
    <xf numFmtId="0" fontId="7" fillId="0" borderId="25" xfId="0" applyNumberFormat="1" applyFont="1" applyBorder="1" applyAlignment="1">
      <alignment horizontal="center"/>
    </xf>
    <xf numFmtId="0" fontId="7" fillId="3" borderId="29" xfId="0" applyFont="1" applyFill="1" applyBorder="1" applyAlignment="1">
      <alignment horizontal="center"/>
    </xf>
    <xf numFmtId="2" fontId="7" fillId="0" borderId="29" xfId="0" applyNumberFormat="1" applyFont="1" applyBorder="1" applyAlignment="1">
      <alignment horizontal="center"/>
    </xf>
    <xf numFmtId="0" fontId="7" fillId="3" borderId="30" xfId="0" applyFont="1" applyFill="1" applyBorder="1" applyAlignment="1">
      <alignment horizontal="center"/>
    </xf>
    <xf numFmtId="168" fontId="7" fillId="0" borderId="8" xfId="0" applyNumberFormat="1" applyFont="1" applyBorder="1" applyAlignment="1">
      <alignment horizontal="center" vertical="center"/>
    </xf>
    <xf numFmtId="168" fontId="7" fillId="0" borderId="14" xfId="0" applyNumberFormat="1" applyFont="1" applyBorder="1" applyAlignment="1">
      <alignment horizontal="center" vertical="center"/>
    </xf>
    <xf numFmtId="168" fontId="7" fillId="0" borderId="9" xfId="0" applyNumberFormat="1" applyFont="1" applyBorder="1" applyAlignment="1">
      <alignment horizontal="center" vertical="center"/>
    </xf>
    <xf numFmtId="0" fontId="6" fillId="0" borderId="12" xfId="0" applyFont="1" applyBorder="1" applyAlignment="1">
      <alignment horizontal="center" vertical="center"/>
    </xf>
    <xf numFmtId="168" fontId="7" fillId="0" borderId="14" xfId="0" applyNumberFormat="1" applyFont="1" applyBorder="1" applyAlignment="1">
      <alignment horizontal="center" vertical="center"/>
    </xf>
    <xf numFmtId="0" fontId="5" fillId="2" borderId="0" xfId="0" applyFont="1" applyFill="1" applyBorder="1" applyAlignment="1">
      <alignment horizontal="center" vertical="center"/>
    </xf>
    <xf numFmtId="0" fontId="0" fillId="2" borderId="15" xfId="0" applyFill="1" applyBorder="1" applyAlignment="1">
      <alignment vertical="center"/>
    </xf>
    <xf numFmtId="0" fontId="7" fillId="2" borderId="0" xfId="0" applyFont="1" applyFill="1" applyAlignment="1">
      <alignment vertical="center"/>
    </xf>
    <xf numFmtId="0" fontId="7" fillId="2" borderId="15" xfId="0" applyFont="1" applyFill="1" applyBorder="1" applyAlignment="1">
      <alignment vertical="center"/>
    </xf>
    <xf numFmtId="0" fontId="7" fillId="2" borderId="0" xfId="0" applyFont="1" applyFill="1" applyBorder="1" applyAlignment="1">
      <alignment horizontal="center" vertical="center"/>
    </xf>
    <xf numFmtId="169" fontId="7" fillId="2" borderId="0" xfId="0" applyNumberFormat="1" applyFont="1" applyFill="1" applyBorder="1" applyAlignment="1">
      <alignment horizontal="center" vertical="center"/>
    </xf>
    <xf numFmtId="0" fontId="7" fillId="2" borderId="0" xfId="0" applyFont="1" applyFill="1" applyBorder="1" applyAlignment="1">
      <alignment horizontal="center"/>
    </xf>
    <xf numFmtId="0" fontId="7" fillId="2" borderId="1" xfId="0" applyFont="1" applyFill="1" applyBorder="1" applyAlignment="1">
      <alignment horizontal="center"/>
    </xf>
    <xf numFmtId="0" fontId="0" fillId="0" borderId="24" xfId="0" applyBorder="1"/>
    <xf numFmtId="2" fontId="7" fillId="0" borderId="28" xfId="0" applyNumberFormat="1" applyFont="1" applyBorder="1" applyAlignment="1">
      <alignment horizontal="center"/>
    </xf>
    <xf numFmtId="0" fontId="6" fillId="0" borderId="43" xfId="0" applyFont="1" applyBorder="1" applyAlignment="1">
      <alignment horizontal="center" vertical="center"/>
    </xf>
    <xf numFmtId="0" fontId="5" fillId="2" borderId="23" xfId="0" applyFont="1" applyFill="1" applyBorder="1" applyAlignment="1">
      <alignment horizontal="left" vertical="center"/>
    </xf>
    <xf numFmtId="0" fontId="0" fillId="2" borderId="0" xfId="0" applyFill="1" applyBorder="1" applyAlignment="1">
      <alignment vertical="center"/>
    </xf>
    <xf numFmtId="0" fontId="7" fillId="2" borderId="0" xfId="0" applyFont="1" applyFill="1" applyBorder="1" applyAlignment="1">
      <alignment vertical="center"/>
    </xf>
    <xf numFmtId="0" fontId="7" fillId="2" borderId="41" xfId="0" applyFont="1" applyFill="1" applyBorder="1" applyAlignment="1">
      <alignment horizontal="center" vertical="center"/>
    </xf>
    <xf numFmtId="0" fontId="7" fillId="2" borderId="40" xfId="0" applyFont="1" applyFill="1" applyBorder="1" applyAlignment="1">
      <alignment horizontal="center" vertical="center"/>
    </xf>
    <xf numFmtId="0" fontId="7" fillId="2" borderId="42" xfId="0" applyFont="1" applyFill="1" applyBorder="1" applyAlignment="1">
      <alignment horizontal="center" vertical="center"/>
    </xf>
    <xf numFmtId="0" fontId="7" fillId="2" borderId="42" xfId="0" applyFont="1" applyFill="1" applyBorder="1" applyAlignment="1" applyProtection="1">
      <alignment horizontal="center" vertical="center"/>
    </xf>
    <xf numFmtId="2" fontId="7" fillId="2" borderId="0" xfId="2" applyNumberFormat="1" applyFont="1" applyFill="1" applyBorder="1" applyAlignment="1">
      <alignment horizontal="center" vertical="center"/>
    </xf>
    <xf numFmtId="169" fontId="7" fillId="0" borderId="22" xfId="0" applyNumberFormat="1" applyFont="1" applyBorder="1" applyAlignment="1">
      <alignment horizontal="center" vertical="center"/>
    </xf>
    <xf numFmtId="170" fontId="7" fillId="0" borderId="8" xfId="2" applyNumberFormat="1" applyFont="1" applyBorder="1" applyAlignment="1">
      <alignment horizontal="center" vertical="center"/>
    </xf>
    <xf numFmtId="170" fontId="7" fillId="0" borderId="2" xfId="0" applyNumberFormat="1" applyFont="1" applyBorder="1" applyAlignment="1">
      <alignment horizontal="center"/>
    </xf>
    <xf numFmtId="170" fontId="7" fillId="0" borderId="13" xfId="0" applyNumberFormat="1" applyFont="1" applyBorder="1" applyAlignment="1">
      <alignment horizontal="center"/>
    </xf>
    <xf numFmtId="170" fontId="7" fillId="0" borderId="0" xfId="0" applyNumberFormat="1" applyFont="1" applyBorder="1" applyAlignment="1">
      <alignment horizontal="center"/>
    </xf>
    <xf numFmtId="170" fontId="7" fillId="0" borderId="15" xfId="0" applyNumberFormat="1" applyFont="1" applyBorder="1" applyAlignment="1">
      <alignment horizontal="center"/>
    </xf>
    <xf numFmtId="170" fontId="7" fillId="0" borderId="11" xfId="2" applyNumberFormat="1" applyFont="1" applyBorder="1" applyAlignment="1">
      <alignment horizontal="center" vertical="center"/>
    </xf>
    <xf numFmtId="170" fontId="7" fillId="0" borderId="0" xfId="2" applyNumberFormat="1" applyFont="1" applyBorder="1" applyAlignment="1">
      <alignment horizontal="center" vertical="center"/>
    </xf>
    <xf numFmtId="170" fontId="7" fillId="0" borderId="0" xfId="2" applyNumberFormat="1" applyFont="1" applyBorder="1" applyAlignment="1">
      <alignment horizontal="center"/>
    </xf>
    <xf numFmtId="170" fontId="7" fillId="0" borderId="1" xfId="0" applyNumberFormat="1" applyFont="1" applyBorder="1" applyAlignment="1">
      <alignment horizontal="center"/>
    </xf>
    <xf numFmtId="0" fontId="7" fillId="3" borderId="18" xfId="0" applyFont="1" applyFill="1" applyBorder="1" applyAlignment="1">
      <alignment vertical="center"/>
    </xf>
    <xf numFmtId="0" fontId="7" fillId="3" borderId="15" xfId="0" applyFont="1" applyFill="1" applyBorder="1"/>
    <xf numFmtId="0" fontId="7" fillId="3" borderId="18" xfId="0" applyFont="1" applyFill="1" applyBorder="1"/>
    <xf numFmtId="170" fontId="7" fillId="0" borderId="50" xfId="0" applyNumberFormat="1" applyFont="1" applyBorder="1" applyAlignment="1">
      <alignment horizontal="center" vertical="center"/>
    </xf>
    <xf numFmtId="170" fontId="7" fillId="0" borderId="5" xfId="2" applyNumberFormat="1" applyFont="1" applyBorder="1" applyAlignment="1">
      <alignment horizontal="center" vertical="center"/>
    </xf>
    <xf numFmtId="168" fontId="7" fillId="0" borderId="0" xfId="0" applyNumberFormat="1" applyFont="1" applyBorder="1" applyAlignment="1">
      <alignment horizontal="center"/>
    </xf>
    <xf numFmtId="168" fontId="7" fillId="0" borderId="1" xfId="0" applyNumberFormat="1" applyFont="1" applyBorder="1" applyAlignment="1">
      <alignment horizontal="center"/>
    </xf>
    <xf numFmtId="2" fontId="0" fillId="2" borderId="0" xfId="0" applyNumberFormat="1" applyFill="1"/>
    <xf numFmtId="44" fontId="0" fillId="2" borderId="0" xfId="0" applyNumberFormat="1" applyFill="1"/>
    <xf numFmtId="0" fontId="2" fillId="8" borderId="58" xfId="0" applyFont="1" applyFill="1" applyBorder="1"/>
    <xf numFmtId="8" fontId="0" fillId="0" borderId="58" xfId="0" applyNumberFormat="1" applyFont="1" applyBorder="1"/>
    <xf numFmtId="3" fontId="0" fillId="0" borderId="57" xfId="0" applyNumberFormat="1" applyFont="1" applyBorder="1"/>
    <xf numFmtId="0" fontId="2" fillId="8" borderId="59" xfId="0" applyFont="1" applyFill="1" applyBorder="1"/>
    <xf numFmtId="8" fontId="0" fillId="0" borderId="59" xfId="0" applyNumberFormat="1" applyFont="1" applyBorder="1"/>
    <xf numFmtId="8" fontId="0" fillId="0" borderId="60" xfId="0" applyNumberFormat="1" applyFont="1" applyBorder="1"/>
    <xf numFmtId="0" fontId="7" fillId="0" borderId="18" xfId="0" applyNumberFormat="1" applyFont="1" applyBorder="1"/>
    <xf numFmtId="0" fontId="0" fillId="0" borderId="0" xfId="0" applyNumberFormat="1" applyBorder="1"/>
    <xf numFmtId="0" fontId="6" fillId="6" borderId="34" xfId="0" applyNumberFormat="1" applyFont="1" applyFill="1" applyBorder="1"/>
    <xf numFmtId="168" fontId="7" fillId="0" borderId="15" xfId="0" applyNumberFormat="1" applyFont="1" applyBorder="1" applyAlignment="1">
      <alignment vertical="center"/>
    </xf>
    <xf numFmtId="168" fontId="7" fillId="0" borderId="17" xfId="0" applyNumberFormat="1" applyFont="1" applyBorder="1" applyAlignment="1">
      <alignment vertical="center"/>
    </xf>
    <xf numFmtId="0" fontId="6" fillId="2" borderId="13" xfId="0" applyFont="1" applyFill="1" applyBorder="1" applyAlignment="1">
      <alignment vertical="center"/>
    </xf>
    <xf numFmtId="168" fontId="7" fillId="2" borderId="15" xfId="0" applyNumberFormat="1" applyFont="1" applyFill="1" applyBorder="1" applyAlignment="1">
      <alignment vertical="center"/>
    </xf>
    <xf numFmtId="168" fontId="7" fillId="2" borderId="17" xfId="0" applyNumberFormat="1" applyFont="1" applyFill="1" applyBorder="1" applyAlignment="1">
      <alignment vertical="center"/>
    </xf>
    <xf numFmtId="168" fontId="6" fillId="2" borderId="20" xfId="0" applyNumberFormat="1" applyFont="1" applyFill="1" applyBorder="1" applyAlignment="1"/>
    <xf numFmtId="0" fontId="0" fillId="0" borderId="1" xfId="0" applyBorder="1"/>
    <xf numFmtId="168" fontId="6" fillId="0" borderId="45" xfId="0" applyNumberFormat="1" applyFont="1" applyBorder="1" applyAlignment="1"/>
    <xf numFmtId="0" fontId="5" fillId="2" borderId="0" xfId="0" applyFont="1" applyFill="1"/>
    <xf numFmtId="0" fontId="6" fillId="2" borderId="0" xfId="0" applyFont="1" applyFill="1" applyBorder="1" applyAlignment="1">
      <alignment horizontal="left"/>
    </xf>
    <xf numFmtId="0" fontId="0" fillId="2" borderId="0" xfId="0" applyFill="1" applyAlignment="1">
      <alignment horizontal="left"/>
    </xf>
    <xf numFmtId="0" fontId="21" fillId="2" borderId="0" xfId="0" applyFont="1" applyFill="1"/>
    <xf numFmtId="174" fontId="7" fillId="0" borderId="11" xfId="2" applyNumberFormat="1" applyFont="1" applyBorder="1" applyAlignment="1">
      <alignment horizontal="center" vertical="center"/>
    </xf>
    <xf numFmtId="174" fontId="7" fillId="0" borderId="1" xfId="0" applyNumberFormat="1" applyFont="1" applyBorder="1" applyAlignment="1">
      <alignment horizontal="center"/>
    </xf>
    <xf numFmtId="174" fontId="7" fillId="0" borderId="17" xfId="0" applyNumberFormat="1" applyFont="1" applyBorder="1" applyAlignment="1">
      <alignment horizontal="center"/>
    </xf>
    <xf numFmtId="8" fontId="0" fillId="0" borderId="0" xfId="0" applyNumberFormat="1" applyFont="1" applyBorder="1"/>
    <xf numFmtId="0" fontId="0" fillId="3" borderId="74" xfId="0" applyFill="1" applyBorder="1"/>
    <xf numFmtId="0" fontId="0" fillId="3" borderId="74" xfId="0" applyFont="1" applyFill="1" applyBorder="1"/>
    <xf numFmtId="3" fontId="0" fillId="3" borderId="74" xfId="0" applyNumberFormat="1" applyFont="1" applyFill="1" applyBorder="1"/>
    <xf numFmtId="8" fontId="0" fillId="3" borderId="74" xfId="0" applyNumberFormat="1" applyFont="1" applyFill="1" applyBorder="1"/>
    <xf numFmtId="0" fontId="7" fillId="3" borderId="0" xfId="0" applyFont="1" applyFill="1"/>
    <xf numFmtId="168" fontId="7" fillId="3" borderId="0" xfId="0" applyNumberFormat="1" applyFont="1" applyFill="1" applyAlignment="1">
      <alignment horizontal="left"/>
    </xf>
    <xf numFmtId="0" fontId="7" fillId="0" borderId="75" xfId="0" applyFont="1" applyBorder="1" applyAlignment="1">
      <alignment horizontal="center"/>
    </xf>
    <xf numFmtId="10" fontId="7" fillId="0" borderId="1" xfId="0" applyNumberFormat="1" applyFont="1" applyBorder="1"/>
    <xf numFmtId="0" fontId="0" fillId="2" borderId="76" xfId="0" applyFill="1" applyBorder="1"/>
    <xf numFmtId="0" fontId="0" fillId="0" borderId="76" xfId="0" applyBorder="1"/>
    <xf numFmtId="0" fontId="0" fillId="3" borderId="76" xfId="0" applyFill="1" applyBorder="1"/>
    <xf numFmtId="0" fontId="5" fillId="2" borderId="76" xfId="0" applyFont="1" applyFill="1" applyBorder="1" applyAlignment="1"/>
    <xf numFmtId="2" fontId="0" fillId="0" borderId="76" xfId="0" applyNumberFormat="1" applyBorder="1"/>
    <xf numFmtId="0" fontId="20" fillId="2" borderId="76" xfId="0" applyFont="1" applyFill="1" applyBorder="1"/>
    <xf numFmtId="172" fontId="0" fillId="0" borderId="76" xfId="0" applyNumberFormat="1" applyBorder="1"/>
    <xf numFmtId="0" fontId="0" fillId="0" borderId="76" xfId="0" applyBorder="1" applyAlignment="1">
      <alignment horizontal="center"/>
    </xf>
    <xf numFmtId="0" fontId="2" fillId="8" borderId="76" xfId="0" applyFont="1" applyFill="1" applyBorder="1"/>
    <xf numFmtId="164" fontId="2" fillId="8" borderId="76" xfId="0" applyNumberFormat="1" applyFont="1" applyFill="1" applyBorder="1"/>
    <xf numFmtId="2" fontId="2" fillId="8" borderId="76" xfId="0" applyNumberFormat="1" applyFont="1" applyFill="1" applyBorder="1"/>
    <xf numFmtId="0" fontId="0" fillId="0" borderId="76" xfId="0" applyFont="1" applyBorder="1" applyAlignment="1">
      <alignment horizontal="center"/>
    </xf>
    <xf numFmtId="0" fontId="0" fillId="2" borderId="76" xfId="0" applyFill="1" applyBorder="1" applyAlignment="1">
      <alignment horizontal="center"/>
    </xf>
    <xf numFmtId="0" fontId="18" fillId="2" borderId="76" xfId="0" applyFont="1" applyFill="1" applyBorder="1"/>
    <xf numFmtId="0" fontId="16" fillId="2" borderId="76" xfId="0" applyFont="1" applyFill="1" applyBorder="1"/>
    <xf numFmtId="0" fontId="17" fillId="2" borderId="76" xfId="0" applyFont="1" applyFill="1" applyBorder="1"/>
    <xf numFmtId="2" fontId="0" fillId="0" borderId="76" xfId="0" applyNumberFormat="1" applyFont="1" applyBorder="1" applyAlignment="1">
      <alignment horizontal="center"/>
    </xf>
    <xf numFmtId="3" fontId="0" fillId="0" borderId="76" xfId="0" applyNumberFormat="1" applyFont="1" applyBorder="1" applyAlignment="1">
      <alignment horizontal="center"/>
    </xf>
    <xf numFmtId="8" fontId="0" fillId="0" borderId="76" xfId="0" applyNumberFormat="1" applyFont="1" applyBorder="1" applyAlignment="1">
      <alignment horizontal="center"/>
    </xf>
    <xf numFmtId="0" fontId="2" fillId="8" borderId="76" xfId="0" applyFont="1" applyFill="1" applyBorder="1" applyAlignment="1">
      <alignment horizontal="center"/>
    </xf>
    <xf numFmtId="164" fontId="2" fillId="8" borderId="76" xfId="0" applyNumberFormat="1" applyFont="1" applyFill="1" applyBorder="1" applyAlignment="1">
      <alignment horizontal="center"/>
    </xf>
    <xf numFmtId="3" fontId="0" fillId="0" borderId="76" xfId="0" applyNumberFormat="1" applyBorder="1" applyAlignment="1">
      <alignment horizontal="center"/>
    </xf>
    <xf numFmtId="8" fontId="0" fillId="0" borderId="76" xfId="0" applyNumberFormat="1" applyBorder="1" applyAlignment="1">
      <alignment horizontal="center"/>
    </xf>
    <xf numFmtId="3" fontId="2" fillId="8" borderId="76" xfId="0" applyNumberFormat="1" applyFont="1" applyFill="1" applyBorder="1" applyAlignment="1">
      <alignment horizontal="center"/>
    </xf>
    <xf numFmtId="0" fontId="0" fillId="3" borderId="77" xfId="0" applyFill="1" applyBorder="1"/>
    <xf numFmtId="0" fontId="0" fillId="0" borderId="77" xfId="0" applyBorder="1"/>
    <xf numFmtId="172" fontId="0" fillId="0" borderId="77" xfId="0" applyNumberFormat="1" applyBorder="1"/>
    <xf numFmtId="0" fontId="6" fillId="2" borderId="21" xfId="0" applyFont="1" applyFill="1" applyBorder="1" applyAlignment="1">
      <alignment horizontal="left"/>
    </xf>
    <xf numFmtId="0" fontId="6" fillId="2" borderId="1" xfId="0" applyFont="1" applyFill="1" applyBorder="1" applyAlignment="1">
      <alignment horizontal="left"/>
    </xf>
    <xf numFmtId="0" fontId="6" fillId="10" borderId="17" xfId="0" applyFont="1" applyFill="1" applyBorder="1" applyAlignment="1">
      <alignment horizontal="left"/>
    </xf>
    <xf numFmtId="169" fontId="7" fillId="2" borderId="23" xfId="0" applyNumberFormat="1" applyFont="1" applyFill="1" applyBorder="1" applyAlignment="1">
      <alignment horizontal="center" vertical="center"/>
    </xf>
    <xf numFmtId="0" fontId="6" fillId="2" borderId="23" xfId="0" applyNumberFormat="1" applyFont="1" applyFill="1" applyBorder="1" applyAlignment="1">
      <alignment horizontal="center" vertical="center"/>
    </xf>
    <xf numFmtId="168" fontId="7" fillId="2" borderId="0" xfId="2" applyNumberFormat="1" applyFont="1" applyFill="1" applyBorder="1" applyAlignment="1">
      <alignment horizontal="center" vertical="center"/>
    </xf>
    <xf numFmtId="168" fontId="7" fillId="2" borderId="0" xfId="1" applyNumberFormat="1" applyFont="1" applyFill="1" applyBorder="1" applyAlignment="1">
      <alignment horizontal="center" vertical="center"/>
    </xf>
    <xf numFmtId="10" fontId="7" fillId="3" borderId="0" xfId="3" applyNumberFormat="1" applyFont="1" applyFill="1" applyAlignment="1">
      <alignment horizontal="left"/>
    </xf>
    <xf numFmtId="0" fontId="4" fillId="2" borderId="0" xfId="0" applyFont="1" applyFill="1" applyAlignment="1">
      <alignment horizontal="center"/>
    </xf>
    <xf numFmtId="0" fontId="7" fillId="2" borderId="0" xfId="1" applyNumberFormat="1" applyFont="1" applyFill="1" applyBorder="1" applyAlignment="1">
      <alignment horizontal="center" vertical="center"/>
    </xf>
    <xf numFmtId="0" fontId="7" fillId="0" borderId="23" xfId="0" applyNumberFormat="1" applyFont="1" applyBorder="1" applyAlignment="1">
      <alignment horizontal="center" vertical="center"/>
    </xf>
    <xf numFmtId="0" fontId="22" fillId="0" borderId="77" xfId="0" applyFont="1" applyBorder="1"/>
    <xf numFmtId="0" fontId="22" fillId="3" borderId="77" xfId="0" applyFont="1" applyFill="1" applyBorder="1"/>
    <xf numFmtId="0" fontId="18" fillId="0" borderId="77" xfId="0" applyFont="1" applyBorder="1"/>
    <xf numFmtId="0" fontId="8" fillId="0" borderId="77" xfId="0" applyFont="1" applyBorder="1"/>
    <xf numFmtId="0" fontId="6" fillId="3" borderId="0" xfId="0" applyFont="1" applyFill="1" applyBorder="1" applyAlignment="1">
      <alignment horizontal="left"/>
    </xf>
    <xf numFmtId="0" fontId="0" fillId="3" borderId="0" xfId="0" applyFill="1" applyBorder="1" applyAlignment="1">
      <alignment horizontal="left"/>
    </xf>
    <xf numFmtId="0" fontId="0" fillId="0" borderId="0" xfId="0" applyBorder="1" applyAlignment="1">
      <alignment horizontal="left"/>
    </xf>
    <xf numFmtId="0" fontId="6" fillId="0" borderId="2" xfId="0" applyFont="1" applyBorder="1" applyAlignment="1">
      <alignment horizontal="center" vertical="center"/>
    </xf>
    <xf numFmtId="168" fontId="6" fillId="0" borderId="23" xfId="2" applyNumberFormat="1" applyFont="1" applyBorder="1" applyAlignment="1">
      <alignment horizontal="center" vertical="center"/>
    </xf>
    <xf numFmtId="0" fontId="6" fillId="3" borderId="2" xfId="0" applyFont="1" applyFill="1" applyBorder="1" applyAlignment="1">
      <alignment horizontal="right"/>
    </xf>
    <xf numFmtId="0" fontId="6" fillId="3" borderId="0" xfId="0" applyFont="1" applyFill="1" applyBorder="1" applyAlignment="1">
      <alignment horizontal="right"/>
    </xf>
    <xf numFmtId="0" fontId="24" fillId="0" borderId="0" xfId="0" applyFont="1" applyAlignment="1">
      <alignment horizontal="left" vertical="center"/>
    </xf>
    <xf numFmtId="169" fontId="7" fillId="3" borderId="7" xfId="0" applyNumberFormat="1" applyFont="1" applyFill="1" applyBorder="1" applyAlignment="1">
      <alignment horizontal="center" vertical="center"/>
    </xf>
    <xf numFmtId="0" fontId="6" fillId="3" borderId="46" xfId="0" applyFont="1" applyFill="1" applyBorder="1" applyAlignment="1">
      <alignment horizontal="center" vertical="center"/>
    </xf>
    <xf numFmtId="0" fontId="6" fillId="3" borderId="47" xfId="0" applyFont="1" applyFill="1" applyBorder="1" applyAlignment="1">
      <alignment horizontal="center" vertical="center"/>
    </xf>
    <xf numFmtId="169" fontId="7" fillId="3" borderId="10" xfId="0" applyNumberFormat="1" applyFont="1" applyFill="1" applyBorder="1" applyAlignment="1">
      <alignment horizontal="center" vertical="center"/>
    </xf>
    <xf numFmtId="0" fontId="6" fillId="3" borderId="5" xfId="0" applyFont="1" applyFill="1" applyBorder="1" applyAlignment="1">
      <alignment horizontal="center" vertical="center"/>
    </xf>
    <xf numFmtId="170" fontId="7" fillId="2" borderId="0" xfId="0" applyNumberFormat="1" applyFont="1" applyFill="1" applyBorder="1" applyAlignment="1">
      <alignment horizontal="center" vertical="center"/>
    </xf>
    <xf numFmtId="0" fontId="6" fillId="3" borderId="71" xfId="0" applyFont="1" applyFill="1" applyBorder="1" applyAlignment="1">
      <alignment horizontal="left"/>
    </xf>
    <xf numFmtId="0" fontId="0" fillId="3" borderId="72" xfId="0" applyFill="1" applyBorder="1" applyAlignment="1">
      <alignment horizontal="left"/>
    </xf>
    <xf numFmtId="0" fontId="6" fillId="3" borderId="18" xfId="0" applyFont="1" applyFill="1" applyBorder="1" applyAlignment="1">
      <alignment horizontal="left"/>
    </xf>
    <xf numFmtId="0" fontId="6" fillId="3" borderId="21" xfId="0" applyFont="1" applyFill="1" applyBorder="1" applyAlignment="1">
      <alignment horizontal="left"/>
    </xf>
    <xf numFmtId="0" fontId="0" fillId="3" borderId="1" xfId="0" applyFill="1" applyBorder="1" applyAlignment="1">
      <alignment horizontal="left"/>
    </xf>
    <xf numFmtId="0" fontId="6" fillId="0" borderId="2" xfId="0" applyFont="1" applyFill="1" applyBorder="1" applyAlignment="1">
      <alignment horizontal="center" vertical="center"/>
    </xf>
    <xf numFmtId="169" fontId="7" fillId="3" borderId="4" xfId="0" applyNumberFormat="1" applyFont="1" applyFill="1" applyBorder="1" applyAlignment="1">
      <alignment horizontal="center" vertical="center"/>
    </xf>
    <xf numFmtId="0" fontId="7" fillId="12" borderId="18" xfId="0" applyFont="1" applyFill="1" applyBorder="1" applyAlignment="1"/>
    <xf numFmtId="0" fontId="25" fillId="4" borderId="18" xfId="0" applyFont="1" applyFill="1" applyBorder="1" applyAlignment="1"/>
    <xf numFmtId="0" fontId="25" fillId="12" borderId="18" xfId="0" applyFont="1" applyFill="1" applyBorder="1" applyAlignment="1"/>
    <xf numFmtId="0" fontId="25" fillId="4" borderId="21" xfId="0" applyFont="1" applyFill="1" applyBorder="1" applyAlignment="1"/>
    <xf numFmtId="0" fontId="7" fillId="0" borderId="0" xfId="0" applyNumberFormat="1" applyFont="1" applyBorder="1" applyAlignment="1">
      <alignment horizontal="center" vertical="center"/>
    </xf>
    <xf numFmtId="0" fontId="0" fillId="13" borderId="0" xfId="0" applyFill="1"/>
    <xf numFmtId="0" fontId="0" fillId="2" borderId="81" xfId="0" applyFill="1" applyBorder="1"/>
    <xf numFmtId="0" fontId="0" fillId="2" borderId="0" xfId="0" applyFill="1" applyAlignment="1"/>
    <xf numFmtId="0" fontId="6" fillId="6" borderId="82" xfId="0" applyFont="1" applyFill="1" applyBorder="1"/>
    <xf numFmtId="0" fontId="6" fillId="6" borderId="24" xfId="0" applyFont="1" applyFill="1" applyBorder="1"/>
    <xf numFmtId="0" fontId="0" fillId="3" borderId="47" xfId="0" applyFill="1" applyBorder="1" applyAlignment="1"/>
    <xf numFmtId="0" fontId="0" fillId="3" borderId="49" xfId="0" applyFill="1" applyBorder="1"/>
    <xf numFmtId="0" fontId="0" fillId="3" borderId="83" xfId="0" applyFill="1" applyBorder="1"/>
    <xf numFmtId="0" fontId="2" fillId="2" borderId="0" xfId="0" applyFont="1" applyFill="1"/>
    <xf numFmtId="0" fontId="7" fillId="2" borderId="0" xfId="0" applyFont="1" applyFill="1" applyBorder="1" applyAlignment="1">
      <alignment horizontal="center" vertical="center"/>
    </xf>
    <xf numFmtId="0" fontId="0" fillId="3" borderId="0" xfId="0" applyFill="1" applyBorder="1" applyAlignment="1"/>
    <xf numFmtId="0" fontId="6" fillId="3" borderId="64" xfId="0" applyFont="1" applyFill="1" applyBorder="1" applyAlignment="1">
      <alignment horizontal="left"/>
    </xf>
    <xf numFmtId="2" fontId="7" fillId="2" borderId="1" xfId="2" applyNumberFormat="1" applyFont="1" applyFill="1" applyBorder="1" applyAlignment="1">
      <alignment horizontal="center" vertical="center"/>
    </xf>
    <xf numFmtId="0" fontId="7" fillId="2" borderId="1" xfId="1" applyNumberFormat="1" applyFont="1" applyFill="1" applyBorder="1" applyAlignment="1">
      <alignment horizontal="center" vertical="center"/>
    </xf>
    <xf numFmtId="2" fontId="7" fillId="14" borderId="0" xfId="2" applyNumberFormat="1" applyFont="1" applyFill="1" applyBorder="1" applyAlignment="1">
      <alignment horizontal="center" vertical="center"/>
    </xf>
    <xf numFmtId="0" fontId="6" fillId="2" borderId="2" xfId="0" applyFont="1" applyFill="1" applyBorder="1" applyAlignment="1">
      <alignment horizontal="center" vertical="center"/>
    </xf>
    <xf numFmtId="0" fontId="6" fillId="2" borderId="85" xfId="0" applyFont="1" applyFill="1" applyBorder="1" applyAlignment="1">
      <alignment horizontal="center" vertical="center"/>
    </xf>
    <xf numFmtId="2" fontId="7" fillId="2" borderId="85" xfId="2" applyNumberFormat="1" applyFont="1" applyFill="1" applyBorder="1" applyAlignment="1">
      <alignment horizontal="center" vertical="center"/>
    </xf>
    <xf numFmtId="0" fontId="6" fillId="0" borderId="84" xfId="0" applyFont="1" applyBorder="1" applyAlignment="1">
      <alignment horizontal="center" vertical="center"/>
    </xf>
    <xf numFmtId="168" fontId="7" fillId="0" borderId="84" xfId="2" applyNumberFormat="1" applyFont="1" applyBorder="1" applyAlignment="1">
      <alignment horizontal="center" vertical="center"/>
    </xf>
    <xf numFmtId="168" fontId="7" fillId="0" borderId="84" xfId="0" applyNumberFormat="1" applyFont="1" applyBorder="1" applyAlignment="1">
      <alignment horizontal="center" vertical="center"/>
    </xf>
    <xf numFmtId="170" fontId="7" fillId="0" borderId="84" xfId="2" applyNumberFormat="1" applyFont="1" applyBorder="1" applyAlignment="1">
      <alignment horizontal="center" vertical="center"/>
    </xf>
    <xf numFmtId="170" fontId="7" fillId="0" borderId="84" xfId="0" applyNumberFormat="1" applyFont="1" applyBorder="1" applyAlignment="1">
      <alignment horizontal="center" vertical="center"/>
    </xf>
    <xf numFmtId="168" fontId="7" fillId="0" borderId="84" xfId="1" applyNumberFormat="1" applyFont="1" applyBorder="1" applyAlignment="1">
      <alignment horizontal="center" vertical="center"/>
    </xf>
    <xf numFmtId="0" fontId="6" fillId="3" borderId="0" xfId="0" applyFont="1" applyFill="1" applyBorder="1" applyAlignment="1" applyProtection="1">
      <alignment horizontal="left"/>
    </xf>
    <xf numFmtId="0" fontId="0" fillId="0" borderId="0" xfId="0" applyAlignment="1" applyProtection="1">
      <alignment horizontal="left"/>
    </xf>
    <xf numFmtId="0" fontId="0" fillId="3" borderId="0" xfId="0" applyFill="1" applyAlignment="1" applyProtection="1">
      <alignment horizontal="left"/>
    </xf>
    <xf numFmtId="0" fontId="0" fillId="2" borderId="0" xfId="0" applyFill="1" applyProtection="1">
      <protection locked="0"/>
    </xf>
    <xf numFmtId="9" fontId="0" fillId="0" borderId="0" xfId="0" applyNumberFormat="1"/>
    <xf numFmtId="9" fontId="4" fillId="2" borderId="0" xfId="3" applyFont="1" applyFill="1"/>
    <xf numFmtId="0" fontId="0" fillId="0" borderId="0" xfId="0" applyAlignment="1">
      <alignment horizontal="center"/>
    </xf>
    <xf numFmtId="0" fontId="6" fillId="3" borderId="61" xfId="0" applyFont="1" applyFill="1" applyBorder="1" applyAlignment="1"/>
    <xf numFmtId="0" fontId="6" fillId="3" borderId="64" xfId="0" applyFont="1" applyFill="1" applyBorder="1" applyAlignment="1"/>
    <xf numFmtId="0" fontId="0" fillId="0" borderId="0" xfId="0" applyBorder="1" applyAlignment="1"/>
    <xf numFmtId="0" fontId="6" fillId="3" borderId="24" xfId="0" applyFont="1" applyFill="1" applyBorder="1" applyAlignment="1"/>
    <xf numFmtId="0" fontId="0" fillId="3" borderId="2" xfId="0" applyFill="1" applyBorder="1" applyAlignment="1"/>
    <xf numFmtId="0" fontId="6" fillId="3" borderId="18" xfId="0" applyFont="1" applyFill="1" applyBorder="1" applyAlignment="1"/>
    <xf numFmtId="0" fontId="0" fillId="0" borderId="0" xfId="0" applyAlignment="1"/>
    <xf numFmtId="0" fontId="0" fillId="3" borderId="62" xfId="0" applyFill="1" applyBorder="1" applyAlignment="1"/>
    <xf numFmtId="2" fontId="0" fillId="0" borderId="0" xfId="0" applyNumberFormat="1" applyAlignment="1">
      <alignment horizontal="center"/>
    </xf>
    <xf numFmtId="9" fontId="0" fillId="0" borderId="0" xfId="3" applyFont="1" applyAlignment="1">
      <alignment horizontal="center"/>
    </xf>
    <xf numFmtId="168" fontId="0" fillId="0" borderId="0" xfId="0" applyNumberFormat="1" applyAlignment="1">
      <alignment horizontal="center" vertical="center"/>
    </xf>
    <xf numFmtId="168" fontId="0" fillId="0" borderId="0" xfId="0" applyNumberFormat="1" applyAlignment="1">
      <alignment horizontal="center" vertical="top"/>
    </xf>
    <xf numFmtId="0" fontId="6" fillId="0" borderId="89" xfId="0" applyFont="1" applyBorder="1" applyAlignment="1">
      <alignment horizontal="center" vertical="center"/>
    </xf>
    <xf numFmtId="169" fontId="7" fillId="3" borderId="89" xfId="0" applyNumberFormat="1" applyFont="1" applyFill="1" applyBorder="1" applyAlignment="1">
      <alignment horizontal="center" vertical="center"/>
    </xf>
    <xf numFmtId="169" fontId="7" fillId="3" borderId="91" xfId="0" applyNumberFormat="1" applyFont="1" applyFill="1" applyBorder="1" applyAlignment="1">
      <alignment horizontal="center" vertical="center"/>
    </xf>
    <xf numFmtId="169" fontId="7" fillId="0" borderId="1" xfId="0" applyNumberFormat="1" applyFont="1" applyBorder="1" applyAlignment="1">
      <alignment horizontal="center" vertical="center"/>
    </xf>
    <xf numFmtId="9" fontId="0" fillId="0" borderId="0" xfId="0" applyNumberFormat="1" applyAlignment="1">
      <alignment horizontal="center"/>
    </xf>
    <xf numFmtId="9" fontId="7" fillId="11" borderId="80" xfId="3" applyFont="1" applyFill="1" applyBorder="1" applyAlignment="1" applyProtection="1">
      <alignment horizontal="center" vertical="center"/>
      <protection locked="0"/>
    </xf>
    <xf numFmtId="170" fontId="7" fillId="0" borderId="80" xfId="2" applyNumberFormat="1" applyFont="1" applyBorder="1" applyAlignment="1">
      <alignment horizontal="center" vertical="center"/>
    </xf>
    <xf numFmtId="174" fontId="7" fillId="0" borderId="91" xfId="2" applyNumberFormat="1" applyFont="1" applyBorder="1" applyAlignment="1">
      <alignment horizontal="center" vertical="center"/>
    </xf>
    <xf numFmtId="169" fontId="7" fillId="3" borderId="8" xfId="0" applyNumberFormat="1" applyFont="1" applyFill="1" applyBorder="1" applyAlignment="1">
      <alignment horizontal="center" vertical="center"/>
    </xf>
    <xf numFmtId="9" fontId="7" fillId="3" borderId="8" xfId="3" applyFont="1" applyFill="1" applyBorder="1" applyAlignment="1">
      <alignment horizontal="center" vertical="center"/>
    </xf>
    <xf numFmtId="169" fontId="7" fillId="3" borderId="11" xfId="0" applyNumberFormat="1" applyFont="1" applyFill="1" applyBorder="1" applyAlignment="1">
      <alignment horizontal="center" vertical="center"/>
    </xf>
    <xf numFmtId="0" fontId="6" fillId="3" borderId="0" xfId="0" applyFont="1" applyFill="1" applyBorder="1" applyAlignment="1">
      <alignment horizontal="left"/>
    </xf>
    <xf numFmtId="171" fontId="4" fillId="2" borderId="0" xfId="3" applyNumberFormat="1" applyFont="1" applyFill="1"/>
    <xf numFmtId="14" fontId="0" fillId="0" borderId="0" xfId="0" applyNumberFormat="1" applyAlignment="1">
      <alignment horizontal="center"/>
    </xf>
    <xf numFmtId="166" fontId="0" fillId="0" borderId="0" xfId="0" applyNumberFormat="1" applyAlignment="1">
      <alignment horizontal="center"/>
    </xf>
    <xf numFmtId="7" fontId="0" fillId="0" borderId="0" xfId="0" applyNumberFormat="1" applyAlignment="1">
      <alignment horizontal="center"/>
    </xf>
    <xf numFmtId="0" fontId="0" fillId="0" borderId="97" xfId="0" applyFont="1" applyBorder="1"/>
    <xf numFmtId="0" fontId="0" fillId="3" borderId="0" xfId="0" applyFill="1"/>
    <xf numFmtId="0" fontId="0" fillId="16" borderId="78" xfId="0" applyFill="1" applyBorder="1"/>
    <xf numFmtId="0" fontId="0" fillId="16" borderId="76" xfId="0" applyFill="1" applyBorder="1"/>
    <xf numFmtId="2" fontId="0" fillId="16" borderId="76" xfId="0" applyNumberFormat="1" applyFill="1" applyBorder="1"/>
    <xf numFmtId="0" fontId="0" fillId="16" borderId="98" xfId="0" applyFill="1" applyBorder="1"/>
    <xf numFmtId="0" fontId="0" fillId="16" borderId="63" xfId="0" applyFill="1" applyBorder="1"/>
    <xf numFmtId="0" fontId="0" fillId="16" borderId="99" xfId="0" applyFill="1" applyBorder="1"/>
    <xf numFmtId="0" fontId="0" fillId="16" borderId="76" xfId="0" applyFill="1" applyBorder="1" applyAlignment="1">
      <alignment horizontal="center"/>
    </xf>
    <xf numFmtId="0" fontId="0" fillId="16" borderId="98" xfId="0" applyFill="1" applyBorder="1" applyAlignment="1">
      <alignment horizontal="center"/>
    </xf>
    <xf numFmtId="0" fontId="0" fillId="16" borderId="99" xfId="0" applyFill="1" applyBorder="1" applyAlignment="1">
      <alignment horizontal="center"/>
    </xf>
    <xf numFmtId="0" fontId="0" fillId="16" borderId="61" xfId="0" applyFill="1" applyBorder="1" applyAlignment="1">
      <alignment horizontal="center"/>
    </xf>
    <xf numFmtId="172" fontId="0" fillId="16" borderId="76" xfId="0" applyNumberFormat="1" applyFill="1" applyBorder="1"/>
    <xf numFmtId="0" fontId="0" fillId="13" borderId="76" xfId="0" applyFill="1" applyBorder="1"/>
    <xf numFmtId="0" fontId="0" fillId="13" borderId="99" xfId="0" applyFill="1" applyBorder="1"/>
    <xf numFmtId="0" fontId="6" fillId="18" borderId="0" xfId="0" applyFont="1" applyFill="1" applyBorder="1" applyAlignment="1">
      <alignment horizontal="left"/>
    </xf>
    <xf numFmtId="0" fontId="2" fillId="2" borderId="0" xfId="0" applyFont="1" applyFill="1" applyAlignment="1">
      <alignment horizontal="center"/>
    </xf>
    <xf numFmtId="0" fontId="0" fillId="9" borderId="0" xfId="0" applyFill="1"/>
    <xf numFmtId="0" fontId="7" fillId="3" borderId="1" xfId="0" applyFont="1" applyFill="1" applyBorder="1"/>
    <xf numFmtId="0" fontId="7" fillId="3" borderId="17" xfId="0" applyFont="1" applyFill="1" applyBorder="1"/>
    <xf numFmtId="0" fontId="7" fillId="3" borderId="40" xfId="0" applyFont="1" applyFill="1" applyBorder="1"/>
    <xf numFmtId="0" fontId="7" fillId="3" borderId="42" xfId="0" applyFont="1" applyFill="1" applyBorder="1"/>
    <xf numFmtId="0" fontId="0" fillId="2" borderId="0" xfId="0" applyFill="1" applyAlignment="1">
      <alignment horizontal="center"/>
    </xf>
    <xf numFmtId="0" fontId="6" fillId="0" borderId="2" xfId="0" applyFont="1" applyBorder="1" applyAlignment="1">
      <alignment horizontal="center" vertical="center"/>
    </xf>
    <xf numFmtId="44" fontId="7" fillId="0" borderId="14" xfId="0" applyNumberFormat="1" applyFont="1" applyBorder="1" applyAlignment="1">
      <alignment horizontal="center" vertical="center"/>
    </xf>
    <xf numFmtId="0" fontId="23" fillId="3" borderId="100" xfId="0" applyFont="1" applyFill="1" applyBorder="1" applyAlignment="1">
      <alignment horizontal="left" vertical="center"/>
    </xf>
    <xf numFmtId="0" fontId="7" fillId="3" borderId="101" xfId="0" applyFont="1" applyFill="1" applyBorder="1"/>
    <xf numFmtId="0" fontId="7" fillId="3" borderId="102" xfId="0" applyFont="1" applyFill="1" applyBorder="1"/>
    <xf numFmtId="0" fontId="23" fillId="2" borderId="0" xfId="0" applyFont="1" applyFill="1" applyAlignment="1">
      <alignment horizontal="left" vertical="center"/>
    </xf>
    <xf numFmtId="0" fontId="0" fillId="3" borderId="101" xfId="0" applyFill="1" applyBorder="1"/>
    <xf numFmtId="0" fontId="0" fillId="3" borderId="102" xfId="0" applyFill="1" applyBorder="1"/>
    <xf numFmtId="170" fontId="0" fillId="3" borderId="77" xfId="0" applyNumberFormat="1" applyFill="1" applyBorder="1"/>
    <xf numFmtId="0" fontId="0" fillId="0" borderId="0" xfId="0"/>
    <xf numFmtId="0" fontId="0" fillId="3" borderId="0" xfId="0" applyFill="1"/>
    <xf numFmtId="0" fontId="0" fillId="0" borderId="0" xfId="0" applyAlignment="1">
      <alignment wrapText="1"/>
    </xf>
    <xf numFmtId="168" fontId="6" fillId="0" borderId="23" xfId="2" applyNumberFormat="1" applyFont="1" applyBorder="1" applyAlignment="1">
      <alignment horizontal="center" vertical="center"/>
    </xf>
    <xf numFmtId="168" fontId="6" fillId="0" borderId="20" xfId="2" applyNumberFormat="1" applyFont="1" applyBorder="1" applyAlignment="1">
      <alignment horizontal="center" vertical="center"/>
    </xf>
    <xf numFmtId="0" fontId="2" fillId="8" borderId="0" xfId="0" applyFont="1" applyFill="1" applyBorder="1"/>
    <xf numFmtId="0" fontId="6" fillId="6" borderId="18" xfId="0" applyFont="1" applyFill="1" applyBorder="1"/>
    <xf numFmtId="0" fontId="0" fillId="3" borderId="76" xfId="0" applyFill="1" applyBorder="1" applyAlignment="1">
      <alignment horizontal="center"/>
    </xf>
    <xf numFmtId="2" fontId="7" fillId="3" borderId="29" xfId="0" applyNumberFormat="1" applyFont="1" applyFill="1" applyBorder="1" applyAlignment="1">
      <alignment horizontal="center"/>
    </xf>
    <xf numFmtId="0" fontId="7" fillId="3" borderId="75" xfId="0" applyFont="1" applyFill="1" applyBorder="1" applyAlignment="1">
      <alignment horizontal="center"/>
    </xf>
    <xf numFmtId="168" fontId="7" fillId="0" borderId="9" xfId="0" applyNumberFormat="1" applyFont="1" applyFill="1" applyBorder="1" applyAlignment="1">
      <alignment horizontal="center" vertical="center"/>
    </xf>
    <xf numFmtId="168" fontId="7" fillId="0" borderId="14" xfId="0" applyNumberFormat="1" applyFont="1" applyFill="1" applyBorder="1" applyAlignment="1">
      <alignment horizontal="center" vertical="center"/>
    </xf>
    <xf numFmtId="0" fontId="7" fillId="3" borderId="0" xfId="0" applyFont="1" applyFill="1" applyAlignment="1">
      <alignment horizontal="center" vertical="center"/>
    </xf>
    <xf numFmtId="0" fontId="0" fillId="0" borderId="0" xfId="0" applyAlignment="1">
      <alignment horizontal="center" wrapText="1"/>
    </xf>
    <xf numFmtId="0" fontId="6" fillId="0" borderId="100" xfId="0" applyFont="1" applyFill="1" applyBorder="1" applyAlignment="1">
      <alignment horizontal="center" vertical="center"/>
    </xf>
    <xf numFmtId="170" fontId="7" fillId="17" borderId="101" xfId="0" applyNumberFormat="1" applyFont="1" applyFill="1" applyBorder="1" applyAlignment="1" applyProtection="1">
      <alignment horizontal="center" vertical="center"/>
    </xf>
    <xf numFmtId="170" fontId="7" fillId="0" borderId="102" xfId="0" applyNumberFormat="1" applyFont="1" applyBorder="1" applyAlignment="1">
      <alignment horizontal="center" vertical="center"/>
    </xf>
    <xf numFmtId="0" fontId="6" fillId="0" borderId="13" xfId="0" applyFont="1" applyBorder="1" applyAlignment="1">
      <alignment horizontal="center" vertical="center"/>
    </xf>
    <xf numFmtId="0" fontId="14" fillId="2" borderId="0" xfId="0" applyFont="1" applyFill="1" applyAlignment="1"/>
    <xf numFmtId="0" fontId="7" fillId="3" borderId="0" xfId="0" applyFont="1" applyFill="1" applyAlignment="1">
      <alignment horizontal="center"/>
    </xf>
    <xf numFmtId="0" fontId="6" fillId="3" borderId="0" xfId="0" applyFont="1" applyFill="1" applyAlignment="1">
      <alignment horizontal="left"/>
    </xf>
    <xf numFmtId="0" fontId="3" fillId="3" borderId="0" xfId="0" applyFont="1" applyFill="1" applyAlignment="1">
      <alignment horizontal="left"/>
    </xf>
    <xf numFmtId="170" fontId="7" fillId="0" borderId="14" xfId="2" applyNumberFormat="1" applyFont="1" applyBorder="1" applyAlignment="1">
      <alignment horizontal="center" vertical="center"/>
    </xf>
    <xf numFmtId="170" fontId="7" fillId="0" borderId="16" xfId="2" applyNumberFormat="1" applyFont="1" applyBorder="1" applyAlignment="1">
      <alignment horizontal="center" vertical="center"/>
    </xf>
    <xf numFmtId="170" fontId="7" fillId="0" borderId="15" xfId="2" applyNumberFormat="1" applyFont="1" applyBorder="1" applyAlignment="1">
      <alignment horizontal="center" vertical="center"/>
    </xf>
    <xf numFmtId="170" fontId="7" fillId="0" borderId="17" xfId="2" applyNumberFormat="1" applyFont="1" applyBorder="1" applyAlignment="1">
      <alignment horizontal="center" vertical="center"/>
    </xf>
    <xf numFmtId="170" fontId="7" fillId="0" borderId="20" xfId="0" applyNumberFormat="1" applyFont="1" applyBorder="1" applyAlignment="1">
      <alignment horizontal="center"/>
    </xf>
    <xf numFmtId="174" fontId="7" fillId="0" borderId="16" xfId="2" applyNumberFormat="1" applyFont="1" applyBorder="1" applyAlignment="1">
      <alignment horizontal="center" vertical="center"/>
    </xf>
    <xf numFmtId="174" fontId="7" fillId="0" borderId="17" xfId="2" applyNumberFormat="1" applyFont="1" applyBorder="1" applyAlignment="1">
      <alignment horizontal="center" vertical="center"/>
    </xf>
    <xf numFmtId="170" fontId="7" fillId="0" borderId="1" xfId="0" applyNumberFormat="1" applyFont="1" applyBorder="1"/>
    <xf numFmtId="0" fontId="6" fillId="3" borderId="0" xfId="0" applyFont="1" applyFill="1"/>
    <xf numFmtId="0" fontId="0" fillId="2" borderId="104" xfId="0" applyFill="1" applyBorder="1"/>
    <xf numFmtId="166" fontId="7" fillId="3" borderId="68" xfId="0" applyNumberFormat="1" applyFont="1" applyFill="1" applyBorder="1" applyAlignment="1">
      <alignment horizontal="center"/>
    </xf>
    <xf numFmtId="168" fontId="7" fillId="3" borderId="70" xfId="0" applyNumberFormat="1" applyFont="1" applyFill="1" applyBorder="1" applyAlignment="1">
      <alignment horizontal="center"/>
    </xf>
    <xf numFmtId="2" fontId="7" fillId="3" borderId="70" xfId="0" applyNumberFormat="1" applyFont="1" applyFill="1" applyBorder="1" applyAlignment="1">
      <alignment horizontal="center"/>
    </xf>
    <xf numFmtId="0" fontId="7" fillId="3" borderId="73" xfId="0" applyFont="1" applyFill="1" applyBorder="1" applyAlignment="1">
      <alignment horizontal="center"/>
    </xf>
    <xf numFmtId="0" fontId="7" fillId="2" borderId="0" xfId="0" applyFont="1" applyFill="1" applyAlignment="1">
      <alignment horizontal="center"/>
    </xf>
    <xf numFmtId="2" fontId="7" fillId="3" borderId="0" xfId="0" applyNumberFormat="1" applyFont="1" applyFill="1" applyAlignment="1">
      <alignment horizontal="center"/>
    </xf>
    <xf numFmtId="0" fontId="7" fillId="3" borderId="65" xfId="0" applyFont="1" applyFill="1" applyBorder="1" applyAlignment="1">
      <alignment horizontal="center"/>
    </xf>
    <xf numFmtId="0" fontId="7" fillId="3" borderId="0" xfId="0" applyFont="1" applyFill="1" applyBorder="1" applyAlignment="1">
      <alignment horizontal="center"/>
    </xf>
    <xf numFmtId="0" fontId="7" fillId="3" borderId="13" xfId="0" applyFont="1" applyFill="1" applyBorder="1" applyAlignment="1">
      <alignment horizontal="center"/>
    </xf>
    <xf numFmtId="0" fontId="7" fillId="3" borderId="15" xfId="0" applyFont="1" applyFill="1" applyBorder="1" applyAlignment="1">
      <alignment horizontal="center"/>
    </xf>
    <xf numFmtId="14" fontId="7" fillId="3" borderId="15" xfId="0" applyNumberFormat="1" applyFont="1" applyFill="1" applyBorder="1" applyAlignment="1">
      <alignment horizontal="center"/>
    </xf>
    <xf numFmtId="14" fontId="7" fillId="3" borderId="17" xfId="0" applyNumberFormat="1" applyFont="1" applyFill="1" applyBorder="1" applyAlignment="1">
      <alignment horizontal="center"/>
    </xf>
    <xf numFmtId="0" fontId="7" fillId="3" borderId="68" xfId="0" applyFont="1" applyFill="1" applyBorder="1" applyAlignment="1">
      <alignment horizontal="center"/>
    </xf>
    <xf numFmtId="0" fontId="7" fillId="3" borderId="70" xfId="0" applyFont="1" applyFill="1" applyBorder="1" applyAlignment="1">
      <alignment horizontal="center"/>
    </xf>
    <xf numFmtId="14" fontId="7" fillId="3" borderId="70" xfId="0" applyNumberFormat="1" applyFont="1" applyFill="1" applyBorder="1" applyAlignment="1">
      <alignment horizontal="center"/>
    </xf>
    <xf numFmtId="14" fontId="7" fillId="11" borderId="73" xfId="0" applyNumberFormat="1" applyFont="1" applyFill="1" applyBorder="1" applyAlignment="1" applyProtection="1">
      <alignment horizontal="center"/>
      <protection locked="0"/>
    </xf>
    <xf numFmtId="0" fontId="7" fillId="3" borderId="63" xfId="0" applyFont="1" applyFill="1" applyBorder="1" applyAlignment="1">
      <alignment horizontal="center"/>
    </xf>
    <xf numFmtId="0" fontId="4" fillId="3" borderId="0" xfId="0" applyFont="1" applyFill="1"/>
    <xf numFmtId="0" fontId="27" fillId="3" borderId="76" xfId="0" applyFont="1" applyFill="1" applyBorder="1" applyAlignment="1">
      <alignment horizontal="center"/>
    </xf>
    <xf numFmtId="0" fontId="7" fillId="11" borderId="0" xfId="0" applyFont="1" applyFill="1" applyAlignment="1" applyProtection="1">
      <alignment horizontal="center"/>
      <protection locked="0"/>
    </xf>
    <xf numFmtId="0" fontId="7" fillId="3" borderId="0" xfId="0" applyFont="1" applyFill="1" applyBorder="1"/>
    <xf numFmtId="2" fontId="7" fillId="0" borderId="106" xfId="2" applyNumberFormat="1" applyFont="1" applyBorder="1" applyAlignment="1">
      <alignment horizontal="center" vertical="center"/>
    </xf>
    <xf numFmtId="2" fontId="7" fillId="0" borderId="105" xfId="2" applyNumberFormat="1" applyFont="1" applyBorder="1" applyAlignment="1">
      <alignment horizontal="center" vertical="center"/>
    </xf>
    <xf numFmtId="44" fontId="7" fillId="0" borderId="106" xfId="2" applyFont="1" applyBorder="1" applyAlignment="1">
      <alignment horizontal="center" vertical="center"/>
    </xf>
    <xf numFmtId="44" fontId="7" fillId="0" borderId="105" xfId="2" applyFont="1" applyBorder="1" applyAlignment="1">
      <alignment horizontal="center" vertical="center"/>
    </xf>
    <xf numFmtId="0" fontId="6" fillId="6" borderId="107" xfId="0" applyFont="1" applyFill="1" applyBorder="1"/>
    <xf numFmtId="0" fontId="6" fillId="6" borderId="108" xfId="0" applyFont="1" applyFill="1" applyBorder="1"/>
    <xf numFmtId="0" fontId="6" fillId="6" borderId="109" xfId="0" applyFont="1" applyFill="1" applyBorder="1"/>
    <xf numFmtId="0" fontId="0" fillId="19" borderId="76" xfId="0" applyFill="1" applyBorder="1"/>
    <xf numFmtId="0" fontId="0" fillId="0" borderId="0" xfId="0" applyAlignment="1">
      <alignment horizontal="center" vertical="center"/>
    </xf>
    <xf numFmtId="0" fontId="6" fillId="0" borderId="0" xfId="0" applyFont="1"/>
    <xf numFmtId="0" fontId="7" fillId="0" borderId="0" xfId="0" applyFont="1" applyAlignment="1">
      <alignment horizontal="center" vertical="center"/>
    </xf>
    <xf numFmtId="0" fontId="14" fillId="2" borderId="0" xfId="0" applyFont="1" applyFill="1"/>
    <xf numFmtId="0" fontId="0" fillId="0" borderId="76" xfId="0" applyBorder="1" applyAlignment="1">
      <alignment horizontal="center"/>
    </xf>
    <xf numFmtId="0" fontId="0" fillId="0" borderId="76" xfId="0" applyBorder="1" applyAlignment="1">
      <alignment horizontal="center"/>
    </xf>
    <xf numFmtId="0" fontId="0" fillId="2" borderId="76" xfId="0" applyFill="1" applyBorder="1" applyAlignment="1">
      <alignment horizontal="center"/>
    </xf>
    <xf numFmtId="0" fontId="14" fillId="2" borderId="76" xfId="0" applyFont="1" applyFill="1" applyBorder="1" applyAlignment="1">
      <alignment horizontal="center"/>
    </xf>
    <xf numFmtId="0" fontId="0" fillId="0" borderId="0" xfId="0" applyAlignment="1">
      <alignment vertical="center"/>
    </xf>
    <xf numFmtId="0" fontId="0" fillId="3" borderId="42" xfId="0" applyFont="1" applyFill="1" applyBorder="1"/>
    <xf numFmtId="0" fontId="0" fillId="3" borderId="0" xfId="0" applyFill="1" applyAlignment="1">
      <alignment vertical="center"/>
    </xf>
    <xf numFmtId="0" fontId="0" fillId="3" borderId="99" xfId="0" applyFill="1" applyBorder="1"/>
    <xf numFmtId="2" fontId="0" fillId="3" borderId="99" xfId="0" applyNumberFormat="1" applyFill="1" applyBorder="1"/>
    <xf numFmtId="0" fontId="0" fillId="0" borderId="78" xfId="0" applyBorder="1" applyAlignment="1">
      <alignment vertical="center"/>
    </xf>
    <xf numFmtId="0" fontId="0" fillId="0" borderId="63" xfId="0" applyBorder="1"/>
    <xf numFmtId="0" fontId="2" fillId="20" borderId="110" xfId="0" applyFont="1" applyFill="1" applyBorder="1"/>
    <xf numFmtId="0" fontId="2" fillId="20" borderId="3" xfId="0" applyFont="1" applyFill="1" applyBorder="1"/>
    <xf numFmtId="0" fontId="0" fillId="0" borderId="110" xfId="0" applyFont="1" applyBorder="1"/>
    <xf numFmtId="0" fontId="0" fillId="0" borderId="3" xfId="0" applyFont="1" applyBorder="1"/>
    <xf numFmtId="0" fontId="0" fillId="0" borderId="111" xfId="0" applyFont="1" applyBorder="1"/>
    <xf numFmtId="0" fontId="0" fillId="0" borderId="112" xfId="0" applyFont="1" applyBorder="1"/>
    <xf numFmtId="0" fontId="28" fillId="0" borderId="3" xfId="0" applyFont="1" applyBorder="1"/>
    <xf numFmtId="0" fontId="0" fillId="0" borderId="110" xfId="0" applyFont="1" applyBorder="1" applyAlignment="1">
      <alignment vertical="center"/>
    </xf>
    <xf numFmtId="0" fontId="6" fillId="0" borderId="113" xfId="0" applyNumberFormat="1" applyFont="1" applyBorder="1" applyAlignment="1">
      <alignment horizontal="center" vertical="center"/>
    </xf>
    <xf numFmtId="0" fontId="6" fillId="0" borderId="114" xfId="0" applyNumberFormat="1" applyFont="1" applyBorder="1" applyAlignment="1">
      <alignment horizontal="center" vertical="center"/>
    </xf>
    <xf numFmtId="0" fontId="6" fillId="0" borderId="2" xfId="0" applyNumberFormat="1" applyFont="1" applyFill="1" applyBorder="1" applyAlignment="1">
      <alignment horizontal="center" vertical="center"/>
    </xf>
    <xf numFmtId="0" fontId="6" fillId="0" borderId="115" xfId="0" applyNumberFormat="1" applyFont="1" applyBorder="1" applyAlignment="1">
      <alignment horizontal="center" vertical="center"/>
    </xf>
    <xf numFmtId="0" fontId="7" fillId="0" borderId="116" xfId="0" applyNumberFormat="1" applyFont="1" applyBorder="1" applyAlignment="1">
      <alignment horizontal="center" vertical="center"/>
    </xf>
    <xf numFmtId="0" fontId="7" fillId="0" borderId="117" xfId="0" applyNumberFormat="1" applyFont="1" applyBorder="1" applyAlignment="1">
      <alignment horizontal="center" vertical="center"/>
    </xf>
    <xf numFmtId="0" fontId="6" fillId="6" borderId="82" xfId="0" applyNumberFormat="1" applyFont="1" applyFill="1" applyBorder="1"/>
    <xf numFmtId="0" fontId="7" fillId="0" borderId="118" xfId="0" applyNumberFormat="1" applyFont="1" applyBorder="1" applyAlignment="1">
      <alignment horizontal="center" vertical="center"/>
    </xf>
    <xf numFmtId="0" fontId="7" fillId="0" borderId="119" xfId="0" applyNumberFormat="1" applyFont="1" applyBorder="1" applyAlignment="1">
      <alignment horizontal="center" vertical="center"/>
    </xf>
    <xf numFmtId="0" fontId="7" fillId="3" borderId="42" xfId="0" applyFont="1" applyFill="1" applyBorder="1" applyAlignment="1">
      <alignment vertical="center"/>
    </xf>
    <xf numFmtId="0" fontId="0" fillId="3" borderId="120" xfId="0" applyFill="1" applyBorder="1"/>
    <xf numFmtId="0" fontId="0" fillId="3" borderId="0" xfId="0" applyFill="1" applyBorder="1"/>
    <xf numFmtId="0" fontId="6" fillId="18" borderId="0" xfId="0" applyFont="1" applyFill="1" applyBorder="1" applyAlignment="1">
      <alignment horizontal="left"/>
    </xf>
    <xf numFmtId="0" fontId="0" fillId="0" borderId="76" xfId="0" applyBorder="1" applyAlignment="1">
      <alignment horizontal="center"/>
    </xf>
    <xf numFmtId="0" fontId="6" fillId="18" borderId="0" xfId="0" applyFont="1" applyFill="1" applyBorder="1" applyAlignment="1"/>
    <xf numFmtId="0" fontId="6" fillId="14" borderId="0" xfId="0" applyFont="1" applyFill="1" applyBorder="1" applyAlignment="1"/>
    <xf numFmtId="0" fontId="6" fillId="14" borderId="0" xfId="0" applyFont="1" applyFill="1" applyBorder="1" applyAlignment="1">
      <alignment horizontal="left"/>
    </xf>
    <xf numFmtId="0" fontId="7" fillId="14" borderId="0" xfId="0" applyFont="1" applyFill="1" applyAlignment="1">
      <alignment horizontal="left"/>
    </xf>
    <xf numFmtId="0" fontId="6" fillId="14" borderId="0" xfId="0" applyFont="1" applyFill="1" applyBorder="1" applyAlignment="1">
      <alignment horizontal="center"/>
    </xf>
    <xf numFmtId="0" fontId="0" fillId="0" borderId="76" xfId="0" applyBorder="1" applyAlignment="1">
      <alignment horizontal="center"/>
    </xf>
    <xf numFmtId="170" fontId="0" fillId="2" borderId="0" xfId="0" applyNumberFormat="1" applyFont="1" applyFill="1" applyAlignment="1">
      <alignment vertical="center"/>
    </xf>
    <xf numFmtId="0" fontId="0" fillId="23" borderId="0" xfId="0" applyFill="1"/>
    <xf numFmtId="0" fontId="0" fillId="0" borderId="76" xfId="0" applyBorder="1" applyAlignment="1">
      <alignment horizontal="center"/>
    </xf>
    <xf numFmtId="0" fontId="0" fillId="0" borderId="78" xfId="0" applyBorder="1"/>
    <xf numFmtId="0" fontId="0" fillId="9" borderId="121" xfId="0" applyFill="1" applyBorder="1" applyAlignment="1">
      <alignment horizontal="center"/>
    </xf>
    <xf numFmtId="0" fontId="0" fillId="9" borderId="122" xfId="0" applyFill="1" applyBorder="1" applyAlignment="1">
      <alignment horizontal="center"/>
    </xf>
    <xf numFmtId="2" fontId="0" fillId="3" borderId="76" xfId="0" applyNumberFormat="1" applyFill="1" applyBorder="1"/>
    <xf numFmtId="0" fontId="0" fillId="3" borderId="98" xfId="0" applyFill="1" applyBorder="1"/>
    <xf numFmtId="0" fontId="7" fillId="2" borderId="0" xfId="0" applyFont="1" applyFill="1" applyBorder="1" applyAlignment="1">
      <alignment horizontal="center" vertical="center"/>
    </xf>
    <xf numFmtId="169" fontId="7" fillId="3" borderId="91" xfId="0" applyNumberFormat="1" applyFont="1" applyFill="1" applyBorder="1" applyAlignment="1">
      <alignment horizontal="center" vertical="center"/>
    </xf>
    <xf numFmtId="0" fontId="6" fillId="0" borderId="89" xfId="0" applyFont="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170" fontId="7" fillId="2" borderId="0" xfId="0" applyNumberFormat="1" applyFont="1" applyFill="1" applyBorder="1" applyAlignment="1">
      <alignment horizontal="center"/>
    </xf>
    <xf numFmtId="170" fontId="7" fillId="2" borderId="0" xfId="0" applyNumberFormat="1" applyFont="1" applyFill="1" applyBorder="1" applyAlignment="1">
      <alignment vertical="center"/>
    </xf>
    <xf numFmtId="0" fontId="6" fillId="2" borderId="0" xfId="0" applyFont="1" applyFill="1" applyBorder="1" applyAlignment="1">
      <alignment horizontal="center"/>
    </xf>
    <xf numFmtId="0" fontId="29" fillId="2" borderId="0" xfId="0" applyFont="1" applyFill="1"/>
    <xf numFmtId="0" fontId="6" fillId="0" borderId="123" xfId="0" applyFont="1" applyBorder="1" applyAlignment="1">
      <alignment horizontal="center"/>
    </xf>
    <xf numFmtId="0" fontId="6" fillId="0" borderId="124" xfId="0" applyFont="1" applyBorder="1" applyAlignment="1">
      <alignment horizontal="center"/>
    </xf>
    <xf numFmtId="170" fontId="7" fillId="0" borderId="124" xfId="0" applyNumberFormat="1" applyFont="1" applyBorder="1" applyAlignment="1">
      <alignment horizontal="center"/>
    </xf>
    <xf numFmtId="170" fontId="7" fillId="0" borderId="125" xfId="0" applyNumberFormat="1" applyFont="1" applyBorder="1" applyAlignment="1">
      <alignment horizontal="center"/>
    </xf>
    <xf numFmtId="0" fontId="7" fillId="0" borderId="127" xfId="0" applyNumberFormat="1" applyFont="1" applyBorder="1" applyAlignment="1">
      <alignment horizontal="center" vertical="center"/>
    </xf>
    <xf numFmtId="0" fontId="0" fillId="2" borderId="0" xfId="0" applyFill="1" applyBorder="1" applyAlignment="1">
      <alignment horizontal="left"/>
    </xf>
    <xf numFmtId="14" fontId="7" fillId="2" borderId="0" xfId="0" applyNumberFormat="1" applyFont="1" applyFill="1" applyBorder="1" applyAlignment="1">
      <alignment horizontal="center"/>
    </xf>
    <xf numFmtId="170" fontId="7" fillId="0" borderId="5" xfId="0" applyNumberFormat="1" applyFont="1" applyBorder="1" applyAlignment="1">
      <alignment vertical="center"/>
    </xf>
    <xf numFmtId="170" fontId="7" fillId="0" borderId="79" xfId="0" applyNumberFormat="1" applyFont="1" applyBorder="1" applyAlignment="1">
      <alignment vertical="center"/>
    </xf>
    <xf numFmtId="0" fontId="0" fillId="0" borderId="0" xfId="0" applyFill="1"/>
    <xf numFmtId="0" fontId="0" fillId="0" borderId="0" xfId="0" applyFill="1" applyAlignment="1">
      <alignment vertical="center"/>
    </xf>
    <xf numFmtId="0" fontId="32" fillId="0" borderId="0" xfId="0" applyFont="1" applyFill="1"/>
    <xf numFmtId="0" fontId="32" fillId="0" borderId="41" xfId="0" applyFont="1" applyFill="1" applyBorder="1"/>
    <xf numFmtId="170" fontId="32" fillId="0" borderId="41" xfId="0" applyNumberFormat="1" applyFont="1" applyFill="1" applyBorder="1" applyAlignment="1">
      <alignment horizontal="center" vertical="center"/>
    </xf>
    <xf numFmtId="0" fontId="32" fillId="0" borderId="42" xfId="0" applyFont="1" applyFill="1" applyBorder="1"/>
    <xf numFmtId="170" fontId="32" fillId="0" borderId="42" xfId="0" applyNumberFormat="1" applyFont="1" applyFill="1" applyBorder="1" applyAlignment="1">
      <alignment horizontal="center" vertical="center"/>
    </xf>
    <xf numFmtId="0" fontId="32" fillId="0" borderId="40" xfId="0" applyFont="1" applyFill="1" applyBorder="1"/>
    <xf numFmtId="0" fontId="32" fillId="0" borderId="0" xfId="0" applyFont="1" applyFill="1" applyAlignment="1">
      <alignment horizontal="center" vertical="center"/>
    </xf>
    <xf numFmtId="0" fontId="32" fillId="0" borderId="41" xfId="0" applyFont="1" applyFill="1" applyBorder="1" applyAlignment="1">
      <alignment horizontal="center" vertical="center"/>
    </xf>
    <xf numFmtId="0" fontId="32" fillId="0" borderId="42" xfId="0" applyFont="1" applyFill="1" applyBorder="1" applyAlignment="1">
      <alignment horizontal="center" vertical="center"/>
    </xf>
    <xf numFmtId="10" fontId="32" fillId="0" borderId="42" xfId="0" applyNumberFormat="1" applyFont="1" applyFill="1" applyBorder="1" applyAlignment="1">
      <alignment horizontal="center" vertical="center"/>
    </xf>
    <xf numFmtId="0" fontId="32" fillId="0" borderId="13" xfId="0" applyFont="1" applyFill="1" applyBorder="1" applyAlignment="1">
      <alignment horizontal="center" vertical="center"/>
    </xf>
    <xf numFmtId="0" fontId="32" fillId="0" borderId="15" xfId="0" applyFont="1" applyFill="1" applyBorder="1" applyAlignment="1">
      <alignment horizontal="center" vertical="center"/>
    </xf>
    <xf numFmtId="0" fontId="32" fillId="0" borderId="17" xfId="0" applyFont="1" applyFill="1" applyBorder="1" applyAlignment="1">
      <alignment horizontal="center" vertical="center"/>
    </xf>
    <xf numFmtId="0" fontId="22" fillId="3" borderId="76" xfId="0" applyFont="1" applyFill="1" applyBorder="1" applyAlignment="1">
      <alignment horizontal="center"/>
    </xf>
    <xf numFmtId="0" fontId="4" fillId="2" borderId="0" xfId="0" applyNumberFormat="1" applyFont="1" applyFill="1"/>
    <xf numFmtId="0" fontId="33" fillId="3" borderId="137" xfId="0" applyFont="1" applyFill="1" applyBorder="1"/>
    <xf numFmtId="0" fontId="33" fillId="3" borderId="60" xfId="0" applyFont="1" applyFill="1" applyBorder="1"/>
    <xf numFmtId="0" fontId="7" fillId="3" borderId="138" xfId="0" applyFont="1" applyFill="1" applyBorder="1"/>
    <xf numFmtId="0" fontId="7" fillId="3" borderId="139" xfId="0" applyFont="1" applyFill="1" applyBorder="1"/>
    <xf numFmtId="0" fontId="7" fillId="3" borderId="138" xfId="2" applyNumberFormat="1" applyFont="1" applyFill="1" applyBorder="1"/>
    <xf numFmtId="0" fontId="7" fillId="3" borderId="138" xfId="0" applyNumberFormat="1" applyFont="1" applyFill="1" applyBorder="1"/>
    <xf numFmtId="0" fontId="15" fillId="2" borderId="142" xfId="0" applyFont="1" applyFill="1" applyBorder="1"/>
    <xf numFmtId="0" fontId="15" fillId="2" borderId="143" xfId="0" applyFont="1" applyFill="1" applyBorder="1"/>
    <xf numFmtId="168" fontId="15" fillId="2" borderId="143" xfId="0" applyNumberFormat="1" applyFont="1" applyFill="1" applyBorder="1"/>
    <xf numFmtId="0" fontId="15" fillId="2" borderId="144" xfId="0" applyFont="1" applyFill="1" applyBorder="1"/>
    <xf numFmtId="0" fontId="6" fillId="3" borderId="138" xfId="0" applyFont="1" applyFill="1" applyBorder="1" applyAlignment="1">
      <alignment horizontal="left"/>
    </xf>
    <xf numFmtId="0" fontId="6" fillId="3" borderId="139" xfId="0" applyFont="1" applyFill="1" applyBorder="1" applyAlignment="1">
      <alignment horizontal="left"/>
    </xf>
    <xf numFmtId="10" fontId="0" fillId="0" borderId="0" xfId="3" applyNumberFormat="1" applyFont="1"/>
    <xf numFmtId="0" fontId="6" fillId="18" borderId="0" xfId="0" applyFont="1" applyFill="1" applyBorder="1" applyAlignment="1">
      <alignment wrapText="1"/>
    </xf>
    <xf numFmtId="0" fontId="6" fillId="0" borderId="0" xfId="0" applyFont="1" applyAlignment="1">
      <alignment wrapText="1"/>
    </xf>
    <xf numFmtId="0" fontId="6" fillId="18" borderId="0" xfId="0" applyFont="1" applyFill="1" applyBorder="1" applyAlignment="1">
      <alignment horizontal="left" wrapText="1"/>
    </xf>
    <xf numFmtId="0" fontId="6" fillId="3" borderId="0" xfId="0" applyFont="1" applyFill="1" applyAlignment="1">
      <alignment wrapText="1"/>
    </xf>
    <xf numFmtId="0" fontId="0" fillId="0" borderId="0" xfId="0" applyFont="1" applyFill="1" applyBorder="1" applyAlignment="1">
      <alignment vertical="center"/>
    </xf>
    <xf numFmtId="0" fontId="6" fillId="3" borderId="0" xfId="0" applyFont="1" applyFill="1" applyAlignment="1">
      <alignment horizontal="center"/>
    </xf>
    <xf numFmtId="0" fontId="0" fillId="22" borderId="145" xfId="0" applyFont="1" applyFill="1" applyBorder="1"/>
    <xf numFmtId="0" fontId="0" fillId="3" borderId="145" xfId="0" applyFont="1" applyFill="1" applyBorder="1"/>
    <xf numFmtId="0" fontId="0" fillId="0" borderId="145" xfId="0" applyFont="1" applyBorder="1"/>
    <xf numFmtId="0" fontId="0" fillId="0" borderId="145" xfId="0" applyBorder="1"/>
    <xf numFmtId="0" fontId="0" fillId="21" borderId="145" xfId="0" applyFont="1" applyFill="1" applyBorder="1"/>
    <xf numFmtId="0" fontId="28" fillId="0" borderId="145" xfId="0" applyFont="1" applyBorder="1"/>
    <xf numFmtId="0" fontId="0" fillId="0" borderId="145" xfId="0" applyFont="1" applyBorder="1" applyAlignment="1">
      <alignment vertical="center"/>
    </xf>
    <xf numFmtId="0" fontId="0" fillId="22" borderId="146" xfId="0" applyFont="1" applyFill="1" applyBorder="1"/>
    <xf numFmtId="0" fontId="0" fillId="3" borderId="146" xfId="0" applyFont="1" applyFill="1" applyBorder="1"/>
    <xf numFmtId="0" fontId="0" fillId="0" borderId="146" xfId="0" applyFont="1" applyBorder="1"/>
    <xf numFmtId="0" fontId="0" fillId="0" borderId="146" xfId="0" applyBorder="1"/>
    <xf numFmtId="0" fontId="0" fillId="3" borderId="77" xfId="0" applyFont="1" applyFill="1" applyBorder="1"/>
    <xf numFmtId="0" fontId="6" fillId="18" borderId="77" xfId="0" applyFont="1" applyFill="1" applyBorder="1" applyAlignment="1">
      <alignment wrapText="1"/>
    </xf>
    <xf numFmtId="0" fontId="6" fillId="0" borderId="77" xfId="0" applyFont="1" applyBorder="1" applyAlignment="1">
      <alignment wrapText="1"/>
    </xf>
    <xf numFmtId="0" fontId="6" fillId="18" borderId="77" xfId="0" applyFont="1" applyFill="1" applyBorder="1" applyAlignment="1">
      <alignment horizontal="left" wrapText="1"/>
    </xf>
    <xf numFmtId="0" fontId="6" fillId="3" borderId="77" xfId="0" applyFont="1" applyFill="1" applyBorder="1" applyAlignment="1">
      <alignment wrapText="1"/>
    </xf>
    <xf numFmtId="0" fontId="6" fillId="18" borderId="77" xfId="0" applyFont="1" applyFill="1" applyBorder="1" applyAlignment="1"/>
    <xf numFmtId="0" fontId="6" fillId="0" borderId="77" xfId="0" applyFont="1" applyBorder="1"/>
    <xf numFmtId="0" fontId="0" fillId="0" borderId="77" xfId="0" applyFont="1" applyBorder="1" applyAlignment="1">
      <alignment horizontal="center" wrapText="1"/>
    </xf>
    <xf numFmtId="0" fontId="6" fillId="18" borderId="77" xfId="0" applyFont="1" applyFill="1" applyBorder="1" applyAlignment="1">
      <alignment horizontal="left"/>
    </xf>
    <xf numFmtId="0" fontId="6" fillId="3" borderId="77" xfId="0" applyFont="1" applyFill="1" applyBorder="1"/>
    <xf numFmtId="0" fontId="0" fillId="0" borderId="0" xfId="0"/>
    <xf numFmtId="0" fontId="0" fillId="0" borderId="0" xfId="0" applyAlignment="1">
      <alignment horizontal="center"/>
    </xf>
    <xf numFmtId="0" fontId="6" fillId="24" borderId="0" xfId="0" applyFont="1" applyFill="1" applyBorder="1" applyAlignment="1"/>
    <xf numFmtId="0" fontId="6" fillId="25" borderId="0" xfId="0" applyFont="1" applyFill="1"/>
    <xf numFmtId="0" fontId="0" fillId="0" borderId="76" xfId="0" applyBorder="1" applyAlignment="1">
      <alignment horizontal="center"/>
    </xf>
    <xf numFmtId="0" fontId="6" fillId="3" borderId="138" xfId="0" applyFont="1" applyFill="1" applyBorder="1" applyAlignment="1">
      <alignment horizontal="left" vertical="center"/>
    </xf>
    <xf numFmtId="0" fontId="12" fillId="3" borderId="140" xfId="0" applyFont="1" applyFill="1" applyBorder="1"/>
    <xf numFmtId="0" fontId="0" fillId="0" borderId="98" xfId="0" applyFont="1" applyBorder="1" applyAlignment="1">
      <alignment horizontal="center"/>
    </xf>
    <xf numFmtId="0" fontId="7" fillId="3" borderId="138" xfId="0" applyFont="1" applyFill="1" applyBorder="1" applyProtection="1">
      <protection locked="0"/>
    </xf>
    <xf numFmtId="0" fontId="7" fillId="11" borderId="138" xfId="0" applyFont="1" applyFill="1" applyBorder="1" applyProtection="1">
      <protection locked="0"/>
    </xf>
    <xf numFmtId="168" fontId="7" fillId="11" borderId="138" xfId="0" applyNumberFormat="1" applyFont="1" applyFill="1" applyBorder="1" applyProtection="1">
      <protection locked="0"/>
    </xf>
    <xf numFmtId="171" fontId="7" fillId="4" borderId="0" xfId="3" applyNumberFormat="1" applyFont="1" applyFill="1" applyBorder="1" applyAlignment="1" applyProtection="1">
      <alignment horizontal="center"/>
      <protection locked="0"/>
    </xf>
    <xf numFmtId="0" fontId="7" fillId="4" borderId="0" xfId="0" applyFont="1" applyFill="1" applyBorder="1" applyAlignment="1" applyProtection="1">
      <alignment horizontal="center" vertical="center"/>
      <protection locked="0"/>
    </xf>
    <xf numFmtId="0" fontId="34" fillId="3" borderId="0" xfId="0" applyFont="1" applyFill="1" applyBorder="1"/>
    <xf numFmtId="0" fontId="7" fillId="4" borderId="0" xfId="0" applyFont="1" applyFill="1" applyBorder="1" applyAlignment="1" applyProtection="1">
      <alignment vertical="center"/>
      <protection locked="0"/>
    </xf>
    <xf numFmtId="0" fontId="0" fillId="3" borderId="24" xfId="0" applyFill="1" applyBorder="1"/>
    <xf numFmtId="0" fontId="0" fillId="3" borderId="2" xfId="0" applyFill="1" applyBorder="1"/>
    <xf numFmtId="0" fontId="30" fillId="2" borderId="0" xfId="0" applyFont="1" applyFill="1" applyAlignment="1"/>
    <xf numFmtId="0" fontId="6" fillId="14" borderId="0" xfId="0" applyFont="1" applyFill="1" applyBorder="1" applyAlignment="1">
      <alignment horizontal="left"/>
    </xf>
    <xf numFmtId="0" fontId="0" fillId="0" borderId="0" xfId="0" applyAlignment="1">
      <alignment horizontal="center" vertical="top" wrapText="1"/>
    </xf>
    <xf numFmtId="0" fontId="0" fillId="0" borderId="0" xfId="0" applyAlignment="1">
      <alignment horizontal="center" wrapText="1" shrinkToFit="1"/>
    </xf>
    <xf numFmtId="0" fontId="0" fillId="11" borderId="41" xfId="0" applyFill="1" applyBorder="1" applyAlignment="1" applyProtection="1">
      <alignment horizontal="left"/>
      <protection locked="0"/>
    </xf>
    <xf numFmtId="0" fontId="0" fillId="11" borderId="42" xfId="0" applyFill="1" applyBorder="1" applyAlignment="1" applyProtection="1">
      <alignment horizontal="left"/>
      <protection locked="0"/>
    </xf>
    <xf numFmtId="0" fontId="0" fillId="11" borderId="40" xfId="0" applyFill="1" applyBorder="1" applyAlignment="1" applyProtection="1">
      <alignment horizontal="left" wrapText="1"/>
      <protection locked="0"/>
    </xf>
    <xf numFmtId="0" fontId="0" fillId="11" borderId="41" xfId="0" applyFill="1" applyBorder="1" applyAlignment="1" applyProtection="1">
      <alignment horizontal="left" wrapText="1"/>
      <protection locked="0"/>
    </xf>
    <xf numFmtId="0" fontId="0" fillId="11" borderId="42" xfId="0" applyFill="1" applyBorder="1" applyAlignment="1" applyProtection="1">
      <alignment horizontal="left" wrapText="1"/>
      <protection locked="0"/>
    </xf>
    <xf numFmtId="0" fontId="0" fillId="2" borderId="152" xfId="0" applyFill="1" applyBorder="1"/>
    <xf numFmtId="0" fontId="6" fillId="14" borderId="0" xfId="0" applyFont="1" applyFill="1"/>
    <xf numFmtId="174" fontId="7" fillId="11" borderId="90" xfId="0" applyNumberFormat="1" applyFont="1" applyFill="1" applyBorder="1" applyAlignment="1" applyProtection="1">
      <alignment horizontal="center" vertical="center"/>
      <protection locked="0"/>
    </xf>
    <xf numFmtId="174" fontId="7" fillId="11" borderId="44" xfId="0" applyNumberFormat="1" applyFont="1" applyFill="1" applyBorder="1" applyAlignment="1" applyProtection="1">
      <alignment horizontal="center" vertical="center"/>
      <protection locked="0"/>
    </xf>
    <xf numFmtId="174" fontId="7" fillId="11" borderId="19" xfId="0" applyNumberFormat="1" applyFont="1" applyFill="1" applyBorder="1" applyAlignment="1" applyProtection="1">
      <alignment horizontal="center" vertical="center"/>
      <protection locked="0"/>
    </xf>
    <xf numFmtId="174" fontId="7" fillId="11" borderId="20" xfId="0" applyNumberFormat="1" applyFont="1" applyFill="1" applyBorder="1" applyAlignment="1" applyProtection="1">
      <alignment horizontal="center" vertical="center"/>
      <protection locked="0"/>
    </xf>
    <xf numFmtId="170" fontId="32" fillId="0" borderId="40" xfId="0" applyNumberFormat="1" applyFont="1" applyFill="1" applyBorder="1" applyAlignment="1">
      <alignment horizontal="center" vertical="center"/>
    </xf>
    <xf numFmtId="0" fontId="6" fillId="3" borderId="153" xfId="0" applyFont="1" applyFill="1" applyBorder="1"/>
    <xf numFmtId="0" fontId="6" fillId="3" borderId="156" xfId="0" applyFont="1" applyFill="1" applyBorder="1"/>
    <xf numFmtId="0" fontId="7" fillId="2" borderId="76" xfId="0" applyFont="1" applyFill="1" applyBorder="1"/>
    <xf numFmtId="0" fontId="32" fillId="0" borderId="40" xfId="0" applyFont="1" applyFill="1" applyBorder="1" applyAlignment="1" applyProtection="1">
      <alignment horizontal="center" vertical="center"/>
      <protection locked="0"/>
    </xf>
    <xf numFmtId="0" fontId="4" fillId="2" borderId="21" xfId="0" applyFont="1" applyFill="1" applyBorder="1" applyAlignment="1">
      <alignment vertical="center"/>
    </xf>
    <xf numFmtId="0" fontId="4" fillId="2" borderId="1" xfId="0" applyFont="1" applyFill="1" applyBorder="1" applyAlignment="1">
      <alignment vertical="center"/>
    </xf>
    <xf numFmtId="0" fontId="2" fillId="2" borderId="1" xfId="0" applyFont="1" applyFill="1" applyBorder="1" applyAlignment="1" applyProtection="1">
      <alignment vertical="center"/>
      <protection locked="0"/>
    </xf>
    <xf numFmtId="0" fontId="2" fillId="2" borderId="17" xfId="0" applyFont="1" applyFill="1" applyBorder="1" applyAlignment="1" applyProtection="1">
      <alignment horizontal="center" vertical="center"/>
      <protection locked="0"/>
    </xf>
    <xf numFmtId="0" fontId="35" fillId="3" borderId="0" xfId="0" applyFont="1" applyFill="1" applyBorder="1"/>
    <xf numFmtId="0" fontId="0" fillId="0" borderId="76" xfId="0" applyBorder="1" applyAlignment="1">
      <alignment horizontal="center"/>
    </xf>
    <xf numFmtId="0" fontId="0" fillId="0" borderId="159" xfId="0" applyFont="1" applyBorder="1" applyAlignment="1">
      <alignment vertical="center"/>
    </xf>
    <xf numFmtId="0" fontId="0" fillId="0" borderId="160" xfId="0" applyFont="1" applyBorder="1"/>
    <xf numFmtId="0" fontId="0" fillId="3" borderId="99" xfId="0" applyFill="1" applyBorder="1" applyAlignment="1">
      <alignment horizontal="center"/>
    </xf>
    <xf numFmtId="0" fontId="0" fillId="3" borderId="61" xfId="0" applyFill="1" applyBorder="1" applyAlignment="1">
      <alignment horizontal="center"/>
    </xf>
    <xf numFmtId="0" fontId="0" fillId="9" borderId="76" xfId="0" applyFill="1" applyBorder="1" applyAlignment="1">
      <alignment horizontal="center"/>
    </xf>
    <xf numFmtId="0" fontId="0" fillId="9" borderId="99" xfId="0" applyFill="1" applyBorder="1" applyAlignment="1">
      <alignment horizontal="center"/>
    </xf>
    <xf numFmtId="0" fontId="18" fillId="9" borderId="122" xfId="0" applyFont="1" applyFill="1" applyBorder="1" applyAlignment="1">
      <alignment horizontal="center"/>
    </xf>
    <xf numFmtId="0" fontId="0" fillId="0" borderId="63" xfId="0" applyBorder="1" applyAlignment="1">
      <alignment vertical="center"/>
    </xf>
    <xf numFmtId="0" fontId="0" fillId="0" borderId="98" xfId="0" applyBorder="1"/>
    <xf numFmtId="2" fontId="0" fillId="3" borderId="98" xfId="0" applyNumberFormat="1" applyFill="1" applyBorder="1"/>
    <xf numFmtId="2" fontId="0" fillId="3" borderId="61" xfId="0" applyNumberFormat="1" applyFill="1" applyBorder="1"/>
    <xf numFmtId="170" fontId="27" fillId="2" borderId="0" xfId="0" applyNumberFormat="1" applyFont="1" applyFill="1" applyBorder="1" applyAlignment="1">
      <alignment vertical="center"/>
    </xf>
    <xf numFmtId="2" fontId="27" fillId="0" borderId="76" xfId="0" applyNumberFormat="1" applyFont="1" applyBorder="1" applyAlignment="1">
      <alignment horizontal="center"/>
    </xf>
    <xf numFmtId="0" fontId="27" fillId="0" borderId="76" xfId="0" applyFont="1" applyBorder="1" applyAlignment="1">
      <alignment horizontal="center"/>
    </xf>
    <xf numFmtId="2" fontId="0" fillId="26" borderId="76" xfId="0" applyNumberFormat="1" applyFont="1" applyFill="1" applyBorder="1" applyAlignment="1">
      <alignment horizontal="center"/>
    </xf>
    <xf numFmtId="0" fontId="0" fillId="0" borderId="153" xfId="0" applyBorder="1"/>
    <xf numFmtId="0" fontId="6" fillId="18" borderId="153" xfId="0" applyFont="1" applyFill="1" applyBorder="1" applyAlignment="1"/>
    <xf numFmtId="0" fontId="6" fillId="24" borderId="153" xfId="0" applyFont="1" applyFill="1" applyBorder="1" applyAlignment="1"/>
    <xf numFmtId="0" fontId="6" fillId="25" borderId="153" xfId="0" applyFont="1" applyFill="1" applyBorder="1"/>
    <xf numFmtId="0" fontId="6" fillId="18" borderId="153" xfId="0" applyFont="1" applyFill="1" applyBorder="1" applyAlignment="1">
      <alignment horizontal="left"/>
    </xf>
    <xf numFmtId="0" fontId="6" fillId="0" borderId="153" xfId="0" applyFont="1" applyBorder="1"/>
    <xf numFmtId="0" fontId="34" fillId="3" borderId="0" xfId="0" applyFont="1" applyFill="1"/>
    <xf numFmtId="14" fontId="34" fillId="3" borderId="0" xfId="0" applyNumberFormat="1" applyFont="1" applyFill="1" applyBorder="1" applyAlignment="1">
      <alignment horizontal="left"/>
    </xf>
    <xf numFmtId="49" fontId="34" fillId="3" borderId="0" xfId="0" applyNumberFormat="1" applyFont="1" applyFill="1" applyBorder="1"/>
    <xf numFmtId="0" fontId="7" fillId="0" borderId="1" xfId="0" applyNumberFormat="1" applyFont="1" applyBorder="1" applyAlignment="1">
      <alignment horizontal="center" vertical="center"/>
    </xf>
    <xf numFmtId="0" fontId="0" fillId="16" borderId="76" xfId="0" applyFont="1" applyFill="1" applyBorder="1" applyAlignment="1">
      <alignment horizontal="center"/>
    </xf>
    <xf numFmtId="2" fontId="22" fillId="0" borderId="77" xfId="0" applyNumberFormat="1" applyFont="1" applyBorder="1"/>
    <xf numFmtId="0" fontId="0" fillId="26" borderId="76" xfId="0" applyFont="1" applyFill="1" applyBorder="1" applyAlignment="1">
      <alignment horizontal="center"/>
    </xf>
    <xf numFmtId="2" fontId="22" fillId="0" borderId="161" xfId="0" applyNumberFormat="1" applyFont="1" applyBorder="1"/>
    <xf numFmtId="0" fontId="0" fillId="0" borderId="0" xfId="0" applyFont="1" applyBorder="1" applyAlignment="1">
      <alignment horizontal="center"/>
    </xf>
    <xf numFmtId="0" fontId="0" fillId="0" borderId="81" xfId="0" applyFont="1" applyBorder="1" applyAlignment="1">
      <alignment horizontal="center"/>
    </xf>
    <xf numFmtId="0" fontId="6" fillId="24" borderId="162" xfId="0" applyFont="1" applyFill="1" applyBorder="1" applyAlignment="1">
      <alignment wrapText="1"/>
    </xf>
    <xf numFmtId="0" fontId="6" fillId="18" borderId="162" xfId="0" applyFont="1" applyFill="1" applyBorder="1" applyAlignment="1">
      <alignment horizontal="left" wrapText="1"/>
    </xf>
    <xf numFmtId="0" fontId="6" fillId="0" borderId="162" xfId="0" applyFont="1" applyBorder="1" applyAlignment="1">
      <alignment wrapText="1"/>
    </xf>
    <xf numFmtId="0" fontId="0" fillId="25" borderId="0" xfId="0" applyFont="1" applyFill="1"/>
    <xf numFmtId="0" fontId="0" fillId="0" borderId="0" xfId="0" applyFont="1"/>
    <xf numFmtId="0" fontId="0" fillId="0" borderId="0" xfId="0" applyFont="1" applyAlignment="1">
      <alignment vertical="center"/>
    </xf>
    <xf numFmtId="0" fontId="0" fillId="0" borderId="0" xfId="7" applyFont="1"/>
    <xf numFmtId="0" fontId="6" fillId="14" borderId="0" xfId="0" applyFont="1" applyFill="1" applyBorder="1" applyAlignment="1">
      <alignment horizontal="left"/>
    </xf>
    <xf numFmtId="0" fontId="6" fillId="3" borderId="0" xfId="0" applyFont="1" applyFill="1" applyBorder="1" applyAlignment="1">
      <alignment horizontal="left"/>
    </xf>
    <xf numFmtId="0" fontId="7" fillId="3" borderId="0" xfId="0" applyFont="1" applyFill="1" applyAlignment="1" applyProtection="1">
      <alignment horizontal="center"/>
    </xf>
    <xf numFmtId="0" fontId="6" fillId="3" borderId="0" xfId="0" applyFont="1" applyFill="1" applyBorder="1" applyAlignment="1">
      <alignment horizontal="left"/>
    </xf>
    <xf numFmtId="0" fontId="7" fillId="4" borderId="0" xfId="0" applyFont="1" applyFill="1" applyBorder="1" applyAlignment="1" applyProtection="1">
      <alignment horizontal="center"/>
      <protection locked="0"/>
    </xf>
    <xf numFmtId="0" fontId="7" fillId="10" borderId="0" xfId="0" applyFont="1" applyFill="1" applyBorder="1" applyAlignment="1" applyProtection="1">
      <alignment horizontal="center"/>
      <protection locked="0"/>
    </xf>
    <xf numFmtId="0" fontId="6" fillId="4" borderId="0" xfId="0" applyFont="1" applyFill="1" applyBorder="1" applyAlignment="1" applyProtection="1">
      <alignment horizontal="left"/>
      <protection locked="0"/>
    </xf>
    <xf numFmtId="0" fontId="6" fillId="14" borderId="0" xfId="0" applyFont="1" applyFill="1" applyBorder="1" applyAlignment="1">
      <alignment horizontal="left"/>
    </xf>
    <xf numFmtId="0" fontId="7" fillId="4" borderId="0" xfId="0" applyNumberFormat="1" applyFont="1" applyFill="1" applyBorder="1" applyAlignment="1" applyProtection="1">
      <alignment horizontal="center"/>
      <protection locked="0"/>
    </xf>
    <xf numFmtId="0" fontId="7" fillId="15" borderId="0" xfId="0" applyFont="1" applyFill="1" applyAlignment="1" applyProtection="1">
      <alignment horizontal="center" vertical="center"/>
      <protection locked="0"/>
    </xf>
    <xf numFmtId="0" fontId="5" fillId="2" borderId="1" xfId="0" applyFont="1" applyFill="1" applyBorder="1" applyAlignment="1">
      <alignment horizontal="left"/>
    </xf>
    <xf numFmtId="0" fontId="6" fillId="3" borderId="2" xfId="0" applyFont="1" applyFill="1" applyBorder="1" applyAlignment="1">
      <alignment horizontal="left"/>
    </xf>
    <xf numFmtId="0" fontId="7" fillId="4" borderId="2" xfId="0" applyFont="1" applyFill="1" applyBorder="1" applyAlignment="1" applyProtection="1">
      <alignment horizontal="center"/>
      <protection locked="0"/>
    </xf>
    <xf numFmtId="0" fontId="7" fillId="4" borderId="2" xfId="0" applyNumberFormat="1" applyFont="1" applyFill="1" applyBorder="1" applyAlignment="1" applyProtection="1">
      <alignment horizontal="center"/>
      <protection locked="0"/>
    </xf>
    <xf numFmtId="14" fontId="7" fillId="4" borderId="0" xfId="0" applyNumberFormat="1" applyFont="1" applyFill="1" applyBorder="1" applyAlignment="1" applyProtection="1">
      <alignment horizontal="center"/>
      <protection locked="0"/>
    </xf>
    <xf numFmtId="167" fontId="7" fillId="4" borderId="0" xfId="0" applyNumberFormat="1" applyFont="1" applyFill="1" applyBorder="1" applyAlignment="1" applyProtection="1">
      <alignment horizontal="center"/>
      <protection locked="0"/>
    </xf>
    <xf numFmtId="0" fontId="6" fillId="3" borderId="0" xfId="0" applyFont="1" applyFill="1" applyBorder="1" applyAlignment="1" applyProtection="1">
      <alignment horizontal="left"/>
    </xf>
    <xf numFmtId="0" fontId="6" fillId="3" borderId="2" xfId="0" applyFont="1" applyFill="1" applyBorder="1" applyAlignment="1" applyProtection="1">
      <alignment horizontal="left"/>
    </xf>
    <xf numFmtId="0" fontId="7" fillId="4" borderId="0" xfId="0" applyFont="1" applyFill="1" applyBorder="1" applyAlignment="1" applyProtection="1">
      <alignment horizontal="center" vertical="center"/>
      <protection locked="0"/>
    </xf>
    <xf numFmtId="164" fontId="7" fillId="4" borderId="2" xfId="0" applyNumberFormat="1" applyFont="1" applyFill="1" applyBorder="1" applyAlignment="1" applyProtection="1">
      <alignment horizontal="center"/>
      <protection locked="0"/>
    </xf>
    <xf numFmtId="165" fontId="7" fillId="4" borderId="0" xfId="0" applyNumberFormat="1" applyFont="1" applyFill="1" applyBorder="1" applyAlignment="1" applyProtection="1">
      <alignment horizontal="center"/>
      <protection locked="0"/>
    </xf>
    <xf numFmtId="173" fontId="7" fillId="4" borderId="0" xfId="0" applyNumberFormat="1" applyFont="1" applyFill="1" applyBorder="1" applyAlignment="1" applyProtection="1">
      <alignment horizontal="center"/>
      <protection locked="0"/>
    </xf>
    <xf numFmtId="166" fontId="7" fillId="4" borderId="0" xfId="0" applyNumberFormat="1" applyFont="1" applyFill="1" applyBorder="1" applyAlignment="1" applyProtection="1">
      <alignment horizontal="center"/>
      <protection locked="0"/>
    </xf>
    <xf numFmtId="3" fontId="7" fillId="4" borderId="0" xfId="0" applyNumberFormat="1" applyFont="1" applyFill="1" applyBorder="1" applyAlignment="1" applyProtection="1">
      <alignment horizontal="center"/>
    </xf>
    <xf numFmtId="0" fontId="7" fillId="4" borderId="0" xfId="0" applyNumberFormat="1" applyFont="1" applyFill="1" applyBorder="1" applyAlignment="1" applyProtection="1">
      <alignment horizontal="center"/>
    </xf>
    <xf numFmtId="168" fontId="7" fillId="4" borderId="0" xfId="0" applyNumberFormat="1" applyFont="1" applyFill="1" applyBorder="1" applyAlignment="1" applyProtection="1">
      <alignment horizontal="center"/>
      <protection locked="0"/>
    </xf>
    <xf numFmtId="0" fontId="6" fillId="4" borderId="2" xfId="0" applyFont="1" applyFill="1" applyBorder="1" applyAlignment="1" applyProtection="1">
      <alignment horizontal="left"/>
      <protection locked="0"/>
    </xf>
    <xf numFmtId="171" fontId="7" fillId="4" borderId="0" xfId="3" applyNumberFormat="1" applyFont="1" applyFill="1" applyBorder="1" applyAlignment="1" applyProtection="1">
      <alignment horizontal="center"/>
      <protection locked="0"/>
    </xf>
    <xf numFmtId="0" fontId="6" fillId="2" borderId="0" xfId="0" applyFont="1" applyFill="1" applyBorder="1" applyAlignment="1">
      <alignment horizontal="left"/>
    </xf>
    <xf numFmtId="168" fontId="7" fillId="27" borderId="0" xfId="0" applyNumberFormat="1" applyFont="1" applyFill="1" applyBorder="1" applyAlignment="1" applyProtection="1">
      <alignment horizontal="center"/>
      <protection locked="0"/>
    </xf>
    <xf numFmtId="0" fontId="13" fillId="2" borderId="0" xfId="0" applyFont="1" applyFill="1" applyAlignment="1">
      <alignment horizontal="center"/>
    </xf>
    <xf numFmtId="49" fontId="7" fillId="4" borderId="2" xfId="0" applyNumberFormat="1" applyFont="1" applyFill="1" applyBorder="1" applyAlignment="1" applyProtection="1">
      <alignment horizontal="center"/>
      <protection locked="0"/>
    </xf>
    <xf numFmtId="0" fontId="7" fillId="15" borderId="2" xfId="0" applyFont="1" applyFill="1" applyBorder="1" applyProtection="1">
      <protection locked="0"/>
    </xf>
    <xf numFmtId="0" fontId="6" fillId="3" borderId="140" xfId="0" applyFont="1" applyFill="1" applyBorder="1" applyAlignment="1">
      <alignment horizontal="center" vertical="center"/>
    </xf>
    <xf numFmtId="0" fontId="6" fillId="3" borderId="150" xfId="0" applyFont="1" applyFill="1" applyBorder="1" applyAlignment="1">
      <alignment horizontal="center" vertical="center"/>
    </xf>
    <xf numFmtId="0" fontId="6" fillId="3" borderId="151" xfId="0" applyFont="1" applyFill="1" applyBorder="1" applyAlignment="1">
      <alignment horizontal="center" vertical="center"/>
    </xf>
    <xf numFmtId="44" fontId="12" fillId="3" borderId="141" xfId="2" applyFont="1" applyFill="1" applyBorder="1" applyAlignment="1">
      <alignment horizontal="center"/>
    </xf>
    <xf numFmtId="44" fontId="12" fillId="3" borderId="149" xfId="2" applyFont="1" applyFill="1" applyBorder="1" applyAlignment="1">
      <alignment horizontal="center"/>
    </xf>
    <xf numFmtId="170" fontId="7" fillId="0" borderId="103" xfId="0" applyNumberFormat="1" applyFont="1" applyBorder="1" applyAlignment="1">
      <alignment horizontal="center"/>
    </xf>
    <xf numFmtId="170" fontId="7" fillId="0" borderId="80" xfId="0" applyNumberFormat="1" applyFont="1" applyBorder="1" applyAlignment="1">
      <alignment horizontal="center"/>
    </xf>
    <xf numFmtId="170" fontId="7" fillId="0" borderId="5" xfId="0" applyNumberFormat="1" applyFont="1" applyBorder="1" applyAlignment="1">
      <alignment horizontal="center" vertical="center"/>
    </xf>
    <xf numFmtId="170" fontId="7" fillId="0" borderId="79" xfId="0" applyNumberFormat="1" applyFont="1" applyBorder="1" applyAlignment="1">
      <alignment horizontal="center" vertical="center"/>
    </xf>
    <xf numFmtId="0" fontId="15" fillId="2" borderId="0" xfId="0" applyFont="1" applyFill="1" applyBorder="1" applyAlignment="1">
      <alignment horizontal="center" vertical="center"/>
    </xf>
    <xf numFmtId="0" fontId="15" fillId="2" borderId="1" xfId="0" applyFont="1" applyFill="1" applyBorder="1" applyAlignment="1">
      <alignment horizontal="center" vertical="center"/>
    </xf>
    <xf numFmtId="168" fontId="7" fillId="0" borderId="51" xfId="2" applyNumberFormat="1" applyFont="1" applyBorder="1" applyAlignment="1">
      <alignment horizontal="center" vertical="center"/>
    </xf>
    <xf numFmtId="168" fontId="7" fillId="0" borderId="54" xfId="2" applyNumberFormat="1" applyFont="1" applyBorder="1" applyAlignment="1">
      <alignment horizontal="center" vertical="center"/>
    </xf>
    <xf numFmtId="168" fontId="7" fillId="0" borderId="51" xfId="0" applyNumberFormat="1" applyFont="1" applyFill="1" applyBorder="1" applyAlignment="1">
      <alignment horizontal="center" vertical="center"/>
    </xf>
    <xf numFmtId="168" fontId="7" fillId="0" borderId="54" xfId="0" applyNumberFormat="1" applyFont="1" applyFill="1" applyBorder="1" applyAlignment="1">
      <alignment horizontal="center" vertical="center"/>
    </xf>
    <xf numFmtId="0" fontId="7" fillId="0" borderId="48" xfId="0" applyNumberFormat="1" applyFont="1" applyFill="1" applyBorder="1" applyAlignment="1">
      <alignment horizontal="center" vertical="center"/>
    </xf>
    <xf numFmtId="0" fontId="7" fillId="0" borderId="55" xfId="0" applyNumberFormat="1" applyFont="1" applyFill="1" applyBorder="1" applyAlignment="1">
      <alignment horizontal="center" vertical="center"/>
    </xf>
    <xf numFmtId="0" fontId="7" fillId="0" borderId="56" xfId="0" applyNumberFormat="1" applyFont="1" applyFill="1" applyBorder="1" applyAlignment="1">
      <alignment horizontal="center" vertical="center"/>
    </xf>
    <xf numFmtId="168" fontId="7" fillId="3" borderId="51" xfId="0" applyNumberFormat="1" applyFont="1" applyFill="1" applyBorder="1" applyAlignment="1">
      <alignment horizontal="center" vertical="center"/>
    </xf>
    <xf numFmtId="168" fontId="7" fillId="3" borderId="54" xfId="0" applyNumberFormat="1" applyFont="1" applyFill="1" applyBorder="1" applyAlignment="1">
      <alignment horizontal="center" vertical="center"/>
    </xf>
    <xf numFmtId="0" fontId="7" fillId="2" borderId="0" xfId="0" applyFont="1" applyFill="1" applyBorder="1" applyAlignment="1">
      <alignment horizontal="center" vertical="center"/>
    </xf>
    <xf numFmtId="170" fontId="7" fillId="0" borderId="23" xfId="0" applyNumberFormat="1" applyFont="1" applyBorder="1" applyAlignment="1"/>
    <xf numFmtId="0" fontId="7" fillId="0" borderId="20" xfId="0" applyFont="1" applyBorder="1" applyAlignment="1"/>
    <xf numFmtId="0" fontId="15" fillId="2" borderId="33" xfId="0" applyFont="1" applyFill="1" applyBorder="1" applyAlignment="1">
      <alignment horizontal="left" vertical="center"/>
    </xf>
    <xf numFmtId="0" fontId="15" fillId="2" borderId="23" xfId="0" applyFont="1" applyFill="1" applyBorder="1" applyAlignment="1">
      <alignment horizontal="left" vertical="center"/>
    </xf>
    <xf numFmtId="0" fontId="15" fillId="2" borderId="20" xfId="0" applyFont="1" applyFill="1" applyBorder="1" applyAlignment="1">
      <alignment horizontal="left" vertical="center"/>
    </xf>
    <xf numFmtId="0" fontId="6" fillId="3" borderId="52" xfId="0" applyFont="1" applyFill="1" applyBorder="1" applyAlignment="1">
      <alignment horizontal="center" vertical="center"/>
    </xf>
    <xf numFmtId="0" fontId="0" fillId="0" borderId="53" xfId="0" applyBorder="1" applyAlignment="1">
      <alignment vertical="center"/>
    </xf>
    <xf numFmtId="0" fontId="15" fillId="2" borderId="21" xfId="0" applyFont="1" applyFill="1" applyBorder="1" applyAlignment="1">
      <alignment horizontal="left" vertical="center"/>
    </xf>
    <xf numFmtId="0" fontId="15" fillId="2" borderId="1" xfId="0" applyFont="1" applyFill="1" applyBorder="1" applyAlignment="1">
      <alignment horizontal="left" vertical="center"/>
    </xf>
    <xf numFmtId="171" fontId="7" fillId="0" borderId="88" xfId="0" applyNumberFormat="1" applyFont="1" applyBorder="1" applyAlignment="1">
      <alignment horizontal="center" vertical="center"/>
    </xf>
    <xf numFmtId="171" fontId="7" fillId="0" borderId="8" xfId="0" applyNumberFormat="1" applyFont="1" applyBorder="1" applyAlignment="1">
      <alignment horizontal="center" vertical="center"/>
    </xf>
    <xf numFmtId="171" fontId="7" fillId="0" borderId="11" xfId="0" applyNumberFormat="1" applyFont="1" applyBorder="1" applyAlignment="1">
      <alignment horizontal="center" vertical="center"/>
    </xf>
    <xf numFmtId="170" fontId="12" fillId="3" borderId="86" xfId="0" applyNumberFormat="1" applyFont="1" applyFill="1" applyBorder="1" applyAlignment="1">
      <alignment horizontal="center" vertical="center"/>
    </xf>
    <xf numFmtId="170" fontId="12" fillId="3" borderId="87" xfId="0" applyNumberFormat="1" applyFont="1" applyFill="1" applyBorder="1" applyAlignment="1">
      <alignment horizontal="center" vertical="center"/>
    </xf>
    <xf numFmtId="170" fontId="12" fillId="3" borderId="14" xfId="0" applyNumberFormat="1" applyFont="1" applyFill="1" applyBorder="1" applyAlignment="1">
      <alignment horizontal="center" vertical="center"/>
    </xf>
    <xf numFmtId="170" fontId="12" fillId="3" borderId="15" xfId="0" applyNumberFormat="1" applyFont="1" applyFill="1" applyBorder="1" applyAlignment="1">
      <alignment horizontal="center" vertical="center"/>
    </xf>
    <xf numFmtId="170" fontId="12" fillId="3" borderId="16" xfId="0" applyNumberFormat="1" applyFont="1" applyFill="1" applyBorder="1" applyAlignment="1">
      <alignment horizontal="center" vertical="center"/>
    </xf>
    <xf numFmtId="170" fontId="12" fillId="3" borderId="17" xfId="0" applyNumberFormat="1" applyFont="1" applyFill="1" applyBorder="1" applyAlignment="1">
      <alignment horizontal="center" vertical="center"/>
    </xf>
    <xf numFmtId="170" fontId="7" fillId="0" borderId="14" xfId="0" applyNumberFormat="1" applyFont="1" applyBorder="1" applyAlignment="1">
      <alignment horizontal="center"/>
    </xf>
    <xf numFmtId="0" fontId="7" fillId="3" borderId="15" xfId="0" applyFont="1" applyFill="1" applyBorder="1" applyAlignment="1">
      <alignment horizontal="center" vertical="center" textRotation="90"/>
    </xf>
    <xf numFmtId="0" fontId="7" fillId="3" borderId="17" xfId="0" applyFont="1" applyFill="1" applyBorder="1" applyAlignment="1">
      <alignment horizontal="center" vertical="center" textRotation="90"/>
    </xf>
    <xf numFmtId="0" fontId="7" fillId="3" borderId="41" xfId="0" applyFont="1" applyFill="1" applyBorder="1" applyAlignment="1">
      <alignment horizontal="center" vertical="center" textRotation="90"/>
    </xf>
    <xf numFmtId="0" fontId="7" fillId="3" borderId="42" xfId="0" applyFont="1" applyFill="1" applyBorder="1" applyAlignment="1">
      <alignment horizontal="center" vertical="center" textRotation="90"/>
    </xf>
    <xf numFmtId="0" fontId="7" fillId="3" borderId="40" xfId="0" applyFont="1" applyFill="1" applyBorder="1" applyAlignment="1">
      <alignment horizontal="center" vertical="center" textRotation="90"/>
    </xf>
    <xf numFmtId="171" fontId="7" fillId="0" borderId="5" xfId="0" applyNumberFormat="1" applyFont="1" applyBorder="1" applyAlignment="1">
      <alignment horizontal="center" vertical="center"/>
    </xf>
    <xf numFmtId="170" fontId="12" fillId="11" borderId="12" xfId="0" applyNumberFormat="1" applyFont="1" applyFill="1" applyBorder="1" applyAlignment="1" applyProtection="1">
      <alignment horizontal="center" vertical="center"/>
      <protection locked="0"/>
    </xf>
    <xf numFmtId="170" fontId="12" fillId="11" borderId="13" xfId="0" applyNumberFormat="1" applyFont="1" applyFill="1" applyBorder="1" applyAlignment="1" applyProtection="1">
      <alignment horizontal="center" vertical="center"/>
      <protection locked="0"/>
    </xf>
    <xf numFmtId="170" fontId="12" fillId="11" borderId="14" xfId="0" applyNumberFormat="1" applyFont="1" applyFill="1" applyBorder="1" applyAlignment="1" applyProtection="1">
      <alignment horizontal="center" vertical="center"/>
      <protection locked="0"/>
    </xf>
    <xf numFmtId="170" fontId="12" fillId="11" borderId="15" xfId="0" applyNumberFormat="1" applyFont="1" applyFill="1" applyBorder="1" applyAlignment="1" applyProtection="1">
      <alignment horizontal="center" vertical="center"/>
      <protection locked="0"/>
    </xf>
    <xf numFmtId="170" fontId="12" fillId="11" borderId="16" xfId="0" applyNumberFormat="1" applyFont="1" applyFill="1" applyBorder="1" applyAlignment="1" applyProtection="1">
      <alignment horizontal="center" vertical="center"/>
      <protection locked="0"/>
    </xf>
    <xf numFmtId="170" fontId="12" fillId="11" borderId="17" xfId="0" applyNumberFormat="1" applyFont="1" applyFill="1" applyBorder="1" applyAlignment="1" applyProtection="1">
      <alignment horizontal="center" vertical="center"/>
      <protection locked="0"/>
    </xf>
    <xf numFmtId="169" fontId="7" fillId="0" borderId="18" xfId="0" applyNumberFormat="1" applyFont="1" applyBorder="1" applyAlignment="1">
      <alignment horizontal="center" vertical="center"/>
    </xf>
    <xf numFmtId="169" fontId="7" fillId="0" borderId="80" xfId="0" applyNumberFormat="1" applyFont="1" applyBorder="1" applyAlignment="1">
      <alignment horizontal="center" vertical="center"/>
    </xf>
    <xf numFmtId="0" fontId="7" fillId="2" borderId="15" xfId="0" applyFont="1" applyFill="1" applyBorder="1" applyAlignment="1">
      <alignment horizontal="center"/>
    </xf>
    <xf numFmtId="169" fontId="7" fillId="3" borderId="21" xfId="0" applyNumberFormat="1" applyFont="1" applyFill="1" applyBorder="1" applyAlignment="1">
      <alignment horizontal="center" vertical="center"/>
    </xf>
    <xf numFmtId="169" fontId="7" fillId="3" borderId="91" xfId="0" applyNumberFormat="1" applyFont="1" applyFill="1" applyBorder="1" applyAlignment="1">
      <alignment horizontal="center" vertical="center"/>
    </xf>
    <xf numFmtId="170" fontId="7" fillId="0" borderId="8" xfId="0" applyNumberFormat="1" applyFont="1" applyBorder="1" applyAlignment="1">
      <alignment horizontal="center" vertical="center"/>
    </xf>
    <xf numFmtId="0" fontId="7" fillId="0" borderId="42" xfId="0" applyFont="1" applyBorder="1" applyAlignment="1">
      <alignment horizontal="center" vertical="center" textRotation="90"/>
    </xf>
    <xf numFmtId="0" fontId="7" fillId="0" borderId="40" xfId="0" applyFont="1" applyBorder="1" applyAlignment="1">
      <alignment horizontal="center" vertical="center" textRotation="90"/>
    </xf>
    <xf numFmtId="0" fontId="6" fillId="0" borderId="24" xfId="0" applyFont="1" applyBorder="1" applyAlignment="1">
      <alignment horizontal="center" vertical="center"/>
    </xf>
    <xf numFmtId="0" fontId="6" fillId="0" borderId="89" xfId="0" applyFont="1" applyBorder="1" applyAlignment="1">
      <alignment horizontal="center" vertical="center"/>
    </xf>
    <xf numFmtId="169" fontId="7" fillId="0" borderId="21" xfId="0" applyNumberFormat="1" applyFont="1" applyBorder="1" applyAlignment="1">
      <alignment horizontal="center" vertical="center"/>
    </xf>
    <xf numFmtId="169" fontId="7" fillId="0" borderId="91" xfId="0" applyNumberFormat="1" applyFont="1" applyBorder="1" applyAlignment="1">
      <alignment horizontal="center" vertical="center"/>
    </xf>
    <xf numFmtId="0" fontId="6" fillId="0" borderId="33" xfId="0" applyFont="1" applyBorder="1" applyAlignment="1">
      <alignment horizontal="center"/>
    </xf>
    <xf numFmtId="0" fontId="6" fillId="0" borderId="23" xfId="0" applyFont="1" applyBorder="1" applyAlignment="1">
      <alignment horizontal="center"/>
    </xf>
    <xf numFmtId="169" fontId="7" fillId="3" borderId="18" xfId="0" applyNumberFormat="1" applyFont="1" applyFill="1" applyBorder="1" applyAlignment="1">
      <alignment horizontal="center" vertical="center"/>
    </xf>
    <xf numFmtId="169" fontId="7" fillId="3" borderId="80" xfId="0" applyNumberFormat="1" applyFont="1" applyFill="1" applyBorder="1" applyAlignment="1">
      <alignment horizontal="center" vertical="center"/>
    </xf>
    <xf numFmtId="0" fontId="7" fillId="3" borderId="21" xfId="0" applyFont="1" applyFill="1" applyBorder="1" applyAlignment="1">
      <alignment horizontal="center"/>
    </xf>
    <xf numFmtId="0" fontId="7" fillId="3" borderId="91" xfId="0" applyFont="1" applyFill="1" applyBorder="1" applyAlignment="1">
      <alignment horizontal="center"/>
    </xf>
    <xf numFmtId="0" fontId="7" fillId="0" borderId="24" xfId="0" applyFont="1" applyBorder="1" applyAlignment="1">
      <alignment horizontal="center"/>
    </xf>
    <xf numFmtId="0" fontId="7" fillId="0" borderId="93" xfId="0" applyFont="1" applyBorder="1" applyAlignment="1">
      <alignment horizontal="center"/>
    </xf>
    <xf numFmtId="169" fontId="7" fillId="3" borderId="94" xfId="0" applyNumberFormat="1" applyFont="1" applyFill="1" applyBorder="1" applyAlignment="1">
      <alignment horizontal="center" vertical="center"/>
    </xf>
    <xf numFmtId="0" fontId="7" fillId="3" borderId="95" xfId="0" applyFont="1" applyFill="1" applyBorder="1" applyAlignment="1">
      <alignment horizontal="center"/>
    </xf>
    <xf numFmtId="169" fontId="7" fillId="3" borderId="33" xfId="0" applyNumberFormat="1" applyFont="1" applyFill="1" applyBorder="1" applyAlignment="1">
      <alignment horizontal="center" vertical="center"/>
    </xf>
    <xf numFmtId="169" fontId="7" fillId="3" borderId="96" xfId="0" applyNumberFormat="1" applyFont="1" applyFill="1" applyBorder="1" applyAlignment="1">
      <alignment horizontal="center" vertical="center"/>
    </xf>
    <xf numFmtId="0" fontId="7" fillId="0" borderId="18" xfId="0" applyFont="1" applyBorder="1" applyAlignment="1">
      <alignment horizontal="center" vertical="center"/>
    </xf>
    <xf numFmtId="0" fontId="7" fillId="0" borderId="21" xfId="0" applyFont="1" applyBorder="1" applyAlignment="1">
      <alignment horizontal="center" vertical="center"/>
    </xf>
    <xf numFmtId="0" fontId="7" fillId="0" borderId="15" xfId="2" applyNumberFormat="1" applyFont="1" applyBorder="1" applyAlignment="1">
      <alignment horizontal="center" vertical="center"/>
    </xf>
    <xf numFmtId="0" fontId="7" fillId="0" borderId="17" xfId="2" applyNumberFormat="1" applyFont="1" applyBorder="1" applyAlignment="1">
      <alignment horizontal="center" vertical="center"/>
    </xf>
    <xf numFmtId="0" fontId="12" fillId="3" borderId="141" xfId="0" applyFont="1" applyFill="1" applyBorder="1" applyAlignment="1">
      <alignment horizontal="right"/>
    </xf>
    <xf numFmtId="0" fontId="12" fillId="3" borderId="149" xfId="0" applyFont="1" applyFill="1" applyBorder="1" applyAlignment="1">
      <alignment horizontal="right"/>
    </xf>
    <xf numFmtId="169" fontId="7" fillId="3" borderId="126" xfId="0" applyNumberFormat="1" applyFont="1" applyFill="1" applyBorder="1" applyAlignment="1">
      <alignment horizontal="center" vertical="center"/>
    </xf>
    <xf numFmtId="169" fontId="7" fillId="3" borderId="129" xfId="0" applyNumberFormat="1" applyFont="1" applyFill="1" applyBorder="1" applyAlignment="1">
      <alignment horizontal="center" vertical="center"/>
    </xf>
    <xf numFmtId="0" fontId="7" fillId="0" borderId="131" xfId="0" applyNumberFormat="1" applyFont="1" applyBorder="1" applyAlignment="1">
      <alignment horizontal="center" vertical="center"/>
    </xf>
    <xf numFmtId="0" fontId="7" fillId="0" borderId="132" xfId="0" applyNumberFormat="1" applyFont="1" applyBorder="1" applyAlignment="1">
      <alignment horizontal="center" vertical="center"/>
    </xf>
    <xf numFmtId="0" fontId="6" fillId="0" borderId="12" xfId="0" applyFont="1" applyBorder="1" applyAlignment="1">
      <alignment horizontal="center" vertical="center"/>
    </xf>
    <xf numFmtId="0" fontId="6" fillId="0" borderId="2" xfId="0" applyFont="1" applyBorder="1" applyAlignment="1">
      <alignment horizontal="center" vertical="center"/>
    </xf>
    <xf numFmtId="170" fontId="7" fillId="0" borderId="16" xfId="2" applyNumberFormat="1" applyFont="1" applyBorder="1" applyAlignment="1">
      <alignment horizontal="center" vertical="center"/>
    </xf>
    <xf numFmtId="170" fontId="7" fillId="0" borderId="1" xfId="2" applyNumberFormat="1" applyFont="1" applyBorder="1" applyAlignment="1">
      <alignment horizontal="center" vertical="center"/>
    </xf>
    <xf numFmtId="0" fontId="7" fillId="2" borderId="0" xfId="0" applyFont="1" applyFill="1" applyBorder="1" applyAlignment="1">
      <alignment horizontal="center"/>
    </xf>
    <xf numFmtId="169" fontId="7" fillId="3" borderId="128" xfId="0" applyNumberFormat="1" applyFont="1" applyFill="1" applyBorder="1" applyAlignment="1">
      <alignment horizontal="center" vertical="center"/>
    </xf>
    <xf numFmtId="169" fontId="7" fillId="3" borderId="130" xfId="0" applyNumberFormat="1" applyFont="1" applyFill="1" applyBorder="1" applyAlignment="1">
      <alignment horizontal="center" vertical="center"/>
    </xf>
    <xf numFmtId="170" fontId="7" fillId="0" borderId="135" xfId="0" applyNumberFormat="1" applyFont="1" applyBorder="1" applyAlignment="1">
      <alignment horizontal="center"/>
    </xf>
    <xf numFmtId="170" fontId="7" fillId="0" borderId="136" xfId="0" applyNumberFormat="1" applyFont="1" applyBorder="1" applyAlignment="1">
      <alignment horizontal="center"/>
    </xf>
    <xf numFmtId="170" fontId="7" fillId="0" borderId="0" xfId="0" applyNumberFormat="1" applyFont="1" applyBorder="1" applyAlignment="1">
      <alignment horizontal="center"/>
    </xf>
    <xf numFmtId="0" fontId="7" fillId="0" borderId="15" xfId="0" applyFont="1" applyBorder="1" applyAlignment="1">
      <alignment horizontal="center" vertical="center"/>
    </xf>
    <xf numFmtId="0" fontId="7" fillId="0" borderId="17" xfId="0" applyFont="1" applyBorder="1" applyAlignment="1">
      <alignment horizontal="center" vertical="center"/>
    </xf>
    <xf numFmtId="0" fontId="7" fillId="11" borderId="133" xfId="0" applyNumberFormat="1" applyFont="1" applyFill="1" applyBorder="1" applyAlignment="1" applyProtection="1">
      <alignment horizontal="center" vertical="center"/>
      <protection locked="0"/>
    </xf>
    <xf numFmtId="0" fontId="7" fillId="11" borderId="134" xfId="0" applyNumberFormat="1" applyFont="1" applyFill="1" applyBorder="1" applyAlignment="1" applyProtection="1">
      <alignment horizontal="center" vertical="center"/>
      <protection locked="0"/>
    </xf>
    <xf numFmtId="170" fontId="7" fillId="0" borderId="133" xfId="0" applyNumberFormat="1" applyFont="1" applyBorder="1" applyAlignment="1">
      <alignment horizontal="center" vertical="center"/>
    </xf>
    <xf numFmtId="170" fontId="7" fillId="0" borderId="134" xfId="0" applyNumberFormat="1" applyFont="1" applyBorder="1" applyAlignment="1">
      <alignment horizontal="center" vertical="center"/>
    </xf>
    <xf numFmtId="2" fontId="7" fillId="0" borderId="133" xfId="0" applyNumberFormat="1" applyFont="1" applyBorder="1" applyAlignment="1">
      <alignment horizontal="center" vertical="center"/>
    </xf>
    <xf numFmtId="2" fontId="7" fillId="0" borderId="134" xfId="0" applyNumberFormat="1" applyFont="1" applyBorder="1" applyAlignment="1">
      <alignment horizontal="center" vertical="center"/>
    </xf>
    <xf numFmtId="0" fontId="7" fillId="0" borderId="133" xfId="0" applyNumberFormat="1" applyFont="1" applyBorder="1" applyAlignment="1">
      <alignment horizontal="center" vertical="center"/>
    </xf>
    <xf numFmtId="0" fontId="7" fillId="0" borderId="134" xfId="0" applyNumberFormat="1" applyFont="1" applyBorder="1" applyAlignment="1">
      <alignment horizontal="center" vertical="center"/>
    </xf>
    <xf numFmtId="0" fontId="6" fillId="3" borderId="24"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18" xfId="0" applyFont="1" applyFill="1" applyBorder="1" applyAlignment="1">
      <alignment horizontal="center" vertical="center"/>
    </xf>
    <xf numFmtId="0" fontId="6" fillId="3" borderId="0" xfId="0" applyFont="1" applyFill="1" applyBorder="1" applyAlignment="1">
      <alignment horizontal="center" vertical="center"/>
    </xf>
    <xf numFmtId="0" fontId="6" fillId="3" borderId="0" xfId="0" applyFont="1" applyFill="1" applyBorder="1" applyAlignment="1">
      <alignment horizontal="left" vertical="center"/>
    </xf>
    <xf numFmtId="0" fontId="6" fillId="3" borderId="24" xfId="0" applyFont="1" applyFill="1" applyBorder="1" applyAlignment="1">
      <alignment horizontal="center" vertical="center" wrapText="1"/>
    </xf>
    <xf numFmtId="0" fontId="5" fillId="2" borderId="2" xfId="0" applyFont="1" applyFill="1" applyBorder="1" applyAlignment="1">
      <alignment horizontal="left"/>
    </xf>
    <xf numFmtId="0" fontId="19" fillId="2" borderId="2" xfId="0" applyFont="1" applyFill="1" applyBorder="1" applyAlignment="1">
      <alignment horizontal="left"/>
    </xf>
    <xf numFmtId="0" fontId="6" fillId="3" borderId="69" xfId="0" applyFont="1" applyFill="1" applyBorder="1" applyAlignment="1"/>
    <xf numFmtId="0" fontId="0" fillId="3" borderId="0" xfId="0" applyFill="1" applyBorder="1" applyAlignment="1"/>
    <xf numFmtId="0" fontId="6" fillId="3" borderId="0" xfId="0" applyFont="1" applyFill="1" applyAlignment="1">
      <alignment horizontal="left"/>
    </xf>
    <xf numFmtId="0" fontId="3" fillId="3" borderId="0" xfId="0" applyFont="1" applyFill="1" applyAlignment="1">
      <alignment horizontal="left"/>
    </xf>
    <xf numFmtId="0" fontId="15" fillId="2" borderId="0" xfId="0" applyFont="1" applyFill="1" applyAlignment="1">
      <alignment horizontal="center"/>
    </xf>
    <xf numFmtId="0" fontId="19" fillId="2" borderId="0" xfId="0" applyFont="1" applyFill="1" applyAlignment="1">
      <alignment horizontal="center"/>
    </xf>
    <xf numFmtId="0" fontId="6" fillId="3" borderId="66" xfId="0" applyFont="1" applyFill="1" applyBorder="1" applyAlignment="1"/>
    <xf numFmtId="0" fontId="0" fillId="3" borderId="67" xfId="0" applyFill="1" applyBorder="1" applyAlignment="1"/>
    <xf numFmtId="0" fontId="6" fillId="3" borderId="69" xfId="0" applyFont="1" applyFill="1" applyBorder="1" applyAlignment="1">
      <alignment horizontal="left"/>
    </xf>
    <xf numFmtId="0" fontId="0" fillId="3" borderId="0" xfId="0" applyFill="1" applyBorder="1" applyAlignment="1">
      <alignment horizontal="left"/>
    </xf>
    <xf numFmtId="0" fontId="6" fillId="3" borderId="66" xfId="0" applyFont="1" applyFill="1" applyBorder="1" applyAlignment="1">
      <alignment horizontal="left"/>
    </xf>
    <xf numFmtId="0" fontId="0" fillId="3" borderId="67" xfId="0" applyFill="1" applyBorder="1" applyAlignment="1">
      <alignment horizontal="left"/>
    </xf>
    <xf numFmtId="0" fontId="6" fillId="3" borderId="71" xfId="0" applyFont="1" applyFill="1" applyBorder="1" applyAlignment="1"/>
    <xf numFmtId="0" fontId="6" fillId="3" borderId="72" xfId="0" applyFont="1" applyFill="1" applyBorder="1" applyAlignment="1"/>
    <xf numFmtId="0" fontId="3" fillId="0" borderId="92" xfId="0" applyFont="1" applyBorder="1" applyAlignment="1">
      <alignment horizontal="center"/>
    </xf>
    <xf numFmtId="0" fontId="26" fillId="0" borderId="0" xfId="0" applyFont="1" applyAlignment="1">
      <alignment horizontal="center"/>
    </xf>
    <xf numFmtId="0" fontId="32" fillId="0" borderId="2" xfId="0" applyFont="1" applyFill="1" applyBorder="1" applyAlignment="1">
      <alignment horizontal="left" vertical="center"/>
    </xf>
    <xf numFmtId="0" fontId="32" fillId="0" borderId="0" xfId="0" applyFont="1" applyFill="1" applyBorder="1" applyAlignment="1">
      <alignment horizontal="left" vertical="center"/>
    </xf>
    <xf numFmtId="0" fontId="32" fillId="0" borderId="1" xfId="0" applyFont="1" applyFill="1" applyBorder="1" applyAlignment="1">
      <alignment horizontal="left" vertical="center"/>
    </xf>
    <xf numFmtId="0" fontId="34" fillId="3" borderId="0" xfId="0" applyFont="1" applyFill="1" applyBorder="1" applyAlignment="1">
      <alignment horizontal="left" wrapText="1"/>
    </xf>
    <xf numFmtId="0" fontId="35" fillId="3" borderId="0" xfId="0" applyFont="1" applyFill="1" applyBorder="1" applyAlignment="1">
      <alignment horizontal="left" vertical="center"/>
    </xf>
    <xf numFmtId="0" fontId="34" fillId="3" borderId="0" xfId="0" applyFont="1" applyFill="1" applyBorder="1" applyAlignment="1" applyProtection="1">
      <alignment horizontal="left"/>
      <protection locked="0"/>
    </xf>
    <xf numFmtId="0" fontId="32" fillId="0" borderId="41" xfId="0" applyFont="1" applyFill="1" applyBorder="1" applyAlignment="1">
      <alignment horizontal="left"/>
    </xf>
    <xf numFmtId="0" fontId="34" fillId="3" borderId="0" xfId="0" applyFont="1" applyFill="1" applyBorder="1" applyAlignment="1" applyProtection="1">
      <alignment horizontal="left" wrapText="1"/>
      <protection locked="0"/>
    </xf>
    <xf numFmtId="0" fontId="34" fillId="3" borderId="0" xfId="0" applyFont="1" applyFill="1" applyBorder="1" applyAlignment="1" applyProtection="1">
      <alignment horizontal="left" vertical="center" wrapText="1"/>
      <protection locked="0"/>
    </xf>
    <xf numFmtId="0" fontId="7" fillId="0" borderId="13"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17" xfId="0" applyFont="1" applyFill="1" applyBorder="1" applyAlignment="1">
      <alignment horizontal="center" vertical="center"/>
    </xf>
    <xf numFmtId="0" fontId="4" fillId="2" borderId="41" xfId="0" applyFont="1" applyFill="1" applyBorder="1" applyAlignment="1">
      <alignment horizontal="center" vertical="center" textRotation="90"/>
    </xf>
    <xf numFmtId="0" fontId="4" fillId="2" borderId="42" xfId="0" applyFont="1" applyFill="1" applyBorder="1" applyAlignment="1">
      <alignment horizontal="center" vertical="center" textRotation="90"/>
    </xf>
    <xf numFmtId="0" fontId="4" fillId="2" borderId="40" xfId="0" applyFont="1" applyFill="1" applyBorder="1" applyAlignment="1">
      <alignment horizontal="center" vertical="center" textRotation="90"/>
    </xf>
    <xf numFmtId="0" fontId="32" fillId="0" borderId="41" xfId="0" applyFont="1" applyFill="1" applyBorder="1" applyAlignment="1">
      <alignment horizontal="left" vertical="top" wrapText="1"/>
    </xf>
    <xf numFmtId="0" fontId="32" fillId="0" borderId="42" xfId="0" applyFont="1" applyFill="1" applyBorder="1" applyAlignment="1">
      <alignment horizontal="left" vertical="top" wrapText="1"/>
    </xf>
    <xf numFmtId="0" fontId="32" fillId="0" borderId="40" xfId="0" applyFont="1" applyFill="1" applyBorder="1" applyAlignment="1">
      <alignment horizontal="left" vertical="top" wrapText="1"/>
    </xf>
    <xf numFmtId="0" fontId="32" fillId="0" borderId="18" xfId="0" applyFont="1" applyFill="1" applyBorder="1" applyAlignment="1">
      <alignment horizontal="left"/>
    </xf>
    <xf numFmtId="0" fontId="32" fillId="0" borderId="0" xfId="0" applyFont="1" applyFill="1" applyBorder="1" applyAlignment="1">
      <alignment horizontal="left"/>
    </xf>
    <xf numFmtId="0" fontId="32" fillId="0" borderId="21" xfId="0" applyFont="1" applyFill="1" applyBorder="1" applyAlignment="1">
      <alignment horizontal="left"/>
    </xf>
    <xf numFmtId="0" fontId="32" fillId="0" borderId="1" xfId="0" applyFont="1" applyFill="1" applyBorder="1" applyAlignment="1">
      <alignment horizontal="left"/>
    </xf>
    <xf numFmtId="0" fontId="32" fillId="0" borderId="15" xfId="0" applyFont="1" applyFill="1" applyBorder="1" applyAlignment="1">
      <alignment horizontal="left"/>
    </xf>
    <xf numFmtId="0" fontId="32" fillId="0" borderId="17" xfId="0" applyFont="1" applyFill="1" applyBorder="1" applyAlignment="1">
      <alignment horizontal="left"/>
    </xf>
    <xf numFmtId="0" fontId="32" fillId="0" borderId="2" xfId="0" applyFont="1" applyFill="1" applyBorder="1" applyAlignment="1">
      <alignment horizontal="left"/>
    </xf>
    <xf numFmtId="0" fontId="32" fillId="0" borderId="13" xfId="0" applyFont="1" applyFill="1" applyBorder="1" applyAlignment="1">
      <alignment horizontal="left"/>
    </xf>
    <xf numFmtId="0" fontId="0" fillId="2" borderId="0" xfId="0" applyFill="1" applyAlignment="1">
      <alignment horizontal="center"/>
    </xf>
    <xf numFmtId="0" fontId="32" fillId="0" borderId="23" xfId="0" applyFont="1" applyFill="1" applyBorder="1" applyAlignment="1">
      <alignment horizontal="right" wrapText="1"/>
    </xf>
    <xf numFmtId="0" fontId="32" fillId="0" borderId="20" xfId="0" applyFont="1" applyFill="1" applyBorder="1" applyAlignment="1">
      <alignment horizontal="right" wrapText="1"/>
    </xf>
    <xf numFmtId="0" fontId="32" fillId="0" borderId="33" xfId="0" applyFont="1" applyFill="1" applyBorder="1" applyAlignment="1">
      <alignment horizontal="left"/>
    </xf>
    <xf numFmtId="0" fontId="32" fillId="0" borderId="23" xfId="0" applyFont="1" applyFill="1" applyBorder="1" applyAlignment="1">
      <alignment horizontal="left"/>
    </xf>
    <xf numFmtId="0" fontId="4" fillId="2" borderId="24" xfId="0" applyFont="1" applyFill="1" applyBorder="1" applyAlignment="1">
      <alignment horizontal="center" vertical="center" textRotation="90"/>
    </xf>
    <xf numFmtId="0" fontId="4" fillId="2" borderId="18" xfId="0" applyFont="1" applyFill="1" applyBorder="1" applyAlignment="1">
      <alignment horizontal="center" vertical="center" textRotation="90"/>
    </xf>
    <xf numFmtId="0" fontId="4" fillId="2" borderId="21" xfId="0" applyFont="1" applyFill="1" applyBorder="1" applyAlignment="1">
      <alignment horizontal="center" vertical="center" textRotation="90"/>
    </xf>
    <xf numFmtId="0" fontId="32" fillId="0" borderId="42" xfId="0" applyFont="1" applyFill="1" applyBorder="1" applyAlignment="1">
      <alignment horizontal="left"/>
    </xf>
    <xf numFmtId="0" fontId="4" fillId="2" borderId="24" xfId="0" applyFont="1" applyFill="1" applyBorder="1" applyAlignment="1">
      <alignment horizontal="left"/>
    </xf>
    <xf numFmtId="0" fontId="4" fillId="2" borderId="2" xfId="0" applyFont="1" applyFill="1" applyBorder="1" applyAlignment="1">
      <alignment horizontal="left"/>
    </xf>
    <xf numFmtId="0" fontId="4" fillId="2" borderId="13" xfId="0" applyFont="1" applyFill="1" applyBorder="1" applyAlignment="1">
      <alignment horizontal="left"/>
    </xf>
    <xf numFmtId="0" fontId="32" fillId="0" borderId="18" xfId="0" applyFont="1" applyFill="1" applyBorder="1" applyAlignment="1" applyProtection="1">
      <alignment horizontal="left" vertical="center" wrapText="1"/>
      <protection locked="0"/>
    </xf>
    <xf numFmtId="0" fontId="32" fillId="0" borderId="0" xfId="0" applyFont="1" applyFill="1" applyBorder="1" applyAlignment="1" applyProtection="1">
      <alignment horizontal="left" vertical="center" wrapText="1"/>
      <protection locked="0"/>
    </xf>
    <xf numFmtId="0" fontId="32" fillId="0" borderId="15" xfId="0" applyFont="1" applyFill="1" applyBorder="1" applyAlignment="1" applyProtection="1">
      <alignment horizontal="left" vertical="center" wrapText="1"/>
      <protection locked="0"/>
    </xf>
    <xf numFmtId="0" fontId="32" fillId="0" borderId="21" xfId="0" applyFont="1" applyFill="1" applyBorder="1" applyAlignment="1" applyProtection="1">
      <alignment horizontal="left" vertical="center" wrapText="1"/>
      <protection locked="0"/>
    </xf>
    <xf numFmtId="0" fontId="32" fillId="0" borderId="1" xfId="0" applyFont="1" applyFill="1" applyBorder="1" applyAlignment="1" applyProtection="1">
      <alignment horizontal="left" vertical="center" wrapText="1"/>
      <protection locked="0"/>
    </xf>
    <xf numFmtId="0" fontId="32" fillId="0" borderId="17" xfId="0" applyFont="1" applyFill="1" applyBorder="1" applyAlignment="1" applyProtection="1">
      <alignment horizontal="left" vertical="center" wrapText="1"/>
      <protection locked="0"/>
    </xf>
    <xf numFmtId="0" fontId="31" fillId="2" borderId="24" xfId="0" applyFont="1" applyFill="1" applyBorder="1" applyAlignment="1">
      <alignment horizontal="left" vertical="center"/>
    </xf>
    <xf numFmtId="0" fontId="31" fillId="2" borderId="2" xfId="0" applyFont="1" applyFill="1" applyBorder="1" applyAlignment="1">
      <alignment horizontal="left" vertical="center"/>
    </xf>
    <xf numFmtId="0" fontId="31" fillId="2" borderId="13" xfId="0" applyFont="1" applyFill="1" applyBorder="1" applyAlignment="1">
      <alignment horizontal="left" vertical="center"/>
    </xf>
    <xf numFmtId="0" fontId="7" fillId="4" borderId="18" xfId="0" applyFont="1" applyFill="1" applyBorder="1" applyAlignment="1">
      <alignment horizontal="center"/>
    </xf>
    <xf numFmtId="0" fontId="7" fillId="4" borderId="15" xfId="0" applyFont="1" applyFill="1" applyBorder="1" applyAlignment="1">
      <alignment horizontal="center"/>
    </xf>
    <xf numFmtId="0" fontId="7" fillId="4" borderId="21" xfId="0" applyFont="1" applyFill="1" applyBorder="1" applyAlignment="1">
      <alignment horizontal="center"/>
    </xf>
    <xf numFmtId="0" fontId="7" fillId="4" borderId="17" xfId="0" applyFont="1" applyFill="1" applyBorder="1" applyAlignment="1">
      <alignment horizontal="center"/>
    </xf>
    <xf numFmtId="14" fontId="7" fillId="4" borderId="18" xfId="0" applyNumberFormat="1" applyFont="1" applyFill="1" applyBorder="1" applyAlignment="1">
      <alignment horizontal="center"/>
    </xf>
    <xf numFmtId="0" fontId="7" fillId="4" borderId="18" xfId="0" applyFont="1" applyFill="1" applyBorder="1" applyAlignment="1">
      <alignment horizontal="center" wrapText="1"/>
    </xf>
    <xf numFmtId="49" fontId="7" fillId="4" borderId="18" xfId="0" applyNumberFormat="1" applyFont="1" applyFill="1" applyBorder="1" applyAlignment="1">
      <alignment horizontal="center"/>
    </xf>
    <xf numFmtId="49" fontId="7" fillId="4" borderId="15" xfId="0" applyNumberFormat="1" applyFont="1" applyFill="1" applyBorder="1" applyAlignment="1">
      <alignment horizontal="center"/>
    </xf>
    <xf numFmtId="0" fontId="5" fillId="2" borderId="0" xfId="0" applyFont="1" applyFill="1" applyBorder="1" applyAlignment="1">
      <alignment horizontal="center"/>
    </xf>
    <xf numFmtId="0" fontId="6" fillId="0" borderId="21" xfId="0" applyFont="1" applyFill="1" applyBorder="1" applyAlignment="1">
      <alignment horizontal="left"/>
    </xf>
    <xf numFmtId="0" fontId="3" fillId="0" borderId="1" xfId="0" applyFont="1" applyFill="1" applyBorder="1" applyAlignment="1">
      <alignment horizontal="left"/>
    </xf>
    <xf numFmtId="0" fontId="6" fillId="0" borderId="21" xfId="0" applyFont="1" applyFill="1" applyBorder="1" applyAlignment="1">
      <alignment horizontal="center"/>
    </xf>
    <xf numFmtId="0" fontId="6" fillId="0" borderId="17" xfId="0" applyFont="1" applyFill="1" applyBorder="1" applyAlignment="1">
      <alignment horizontal="center"/>
    </xf>
    <xf numFmtId="0" fontId="7" fillId="4" borderId="0" xfId="0" applyFont="1" applyFill="1" applyBorder="1" applyAlignment="1">
      <alignment horizontal="center"/>
    </xf>
    <xf numFmtId="49" fontId="7" fillId="4" borderId="24" xfId="0" applyNumberFormat="1" applyFont="1" applyFill="1" applyBorder="1" applyAlignment="1">
      <alignment horizontal="center"/>
    </xf>
    <xf numFmtId="49" fontId="7" fillId="4" borderId="13" xfId="0" applyNumberFormat="1" applyFont="1" applyFill="1" applyBorder="1" applyAlignment="1">
      <alignment horizontal="center"/>
    </xf>
    <xf numFmtId="0" fontId="4" fillId="2" borderId="0" xfId="0" applyFont="1" applyFill="1" applyAlignment="1">
      <alignment horizontal="center"/>
    </xf>
    <xf numFmtId="0" fontId="5" fillId="2" borderId="21"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3" xfId="0" applyFont="1" applyFill="1" applyBorder="1" applyAlignment="1">
      <alignment horizontal="center" vertical="center"/>
    </xf>
    <xf numFmtId="0" fontId="5" fillId="2" borderId="23" xfId="0" applyFont="1" applyFill="1" applyBorder="1" applyAlignment="1">
      <alignment horizontal="center" vertical="center"/>
    </xf>
    <xf numFmtId="0" fontId="5" fillId="2" borderId="20" xfId="0" applyFont="1" applyFill="1" applyBorder="1" applyAlignment="1">
      <alignment horizontal="center" vertical="center"/>
    </xf>
    <xf numFmtId="168" fontId="7" fillId="0" borderId="1" xfId="0" applyNumberFormat="1" applyFont="1" applyBorder="1" applyAlignment="1">
      <alignment horizontal="center" vertical="center"/>
    </xf>
    <xf numFmtId="168" fontId="7" fillId="0" borderId="17" xfId="0" applyNumberFormat="1" applyFont="1" applyBorder="1" applyAlignment="1">
      <alignment horizontal="center" vertical="center"/>
    </xf>
    <xf numFmtId="0" fontId="6" fillId="0" borderId="0" xfId="0" applyFont="1" applyBorder="1" applyAlignment="1">
      <alignment horizontal="center" vertical="center"/>
    </xf>
    <xf numFmtId="0" fontId="6" fillId="0" borderId="15" xfId="0" applyFont="1" applyBorder="1" applyAlignment="1">
      <alignment horizontal="center" vertical="center"/>
    </xf>
    <xf numFmtId="0" fontId="14" fillId="2" borderId="0" xfId="0" applyFont="1" applyFill="1" applyAlignment="1">
      <alignment horizontal="center"/>
    </xf>
    <xf numFmtId="0" fontId="5" fillId="2" borderId="0" xfId="0" applyFont="1" applyFill="1" applyBorder="1" applyAlignment="1">
      <alignment horizontal="center" vertical="center"/>
    </xf>
    <xf numFmtId="0" fontId="6" fillId="0" borderId="13" xfId="0" applyFont="1" applyBorder="1" applyAlignment="1">
      <alignment horizontal="center" vertical="center"/>
    </xf>
    <xf numFmtId="0" fontId="7" fillId="3" borderId="154" xfId="0" applyFont="1" applyFill="1" applyBorder="1" applyAlignment="1">
      <alignment horizontal="center"/>
    </xf>
    <xf numFmtId="0" fontId="7" fillId="3" borderId="155" xfId="0" applyFont="1" applyFill="1" applyBorder="1" applyAlignment="1">
      <alignment horizont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168" fontId="7" fillId="0" borderId="0" xfId="0" applyNumberFormat="1" applyFont="1" applyBorder="1" applyAlignment="1">
      <alignment horizontal="center" vertical="center"/>
    </xf>
    <xf numFmtId="168" fontId="6" fillId="0" borderId="19" xfId="0" applyNumberFormat="1" applyFont="1" applyBorder="1" applyAlignment="1">
      <alignment horizontal="center"/>
    </xf>
    <xf numFmtId="168" fontId="6" fillId="0" borderId="23" xfId="0" applyNumberFormat="1" applyFont="1" applyBorder="1" applyAlignment="1">
      <alignment horizontal="center"/>
    </xf>
    <xf numFmtId="168" fontId="6" fillId="0" borderId="20" xfId="0" applyNumberFormat="1" applyFont="1" applyBorder="1" applyAlignment="1">
      <alignment horizontal="center"/>
    </xf>
    <xf numFmtId="0" fontId="7" fillId="3" borderId="157" xfId="0" applyFont="1" applyFill="1" applyBorder="1" applyAlignment="1">
      <alignment horizontal="center"/>
    </xf>
    <xf numFmtId="0" fontId="7" fillId="3" borderId="158" xfId="0" applyFont="1" applyFill="1" applyBorder="1" applyAlignment="1">
      <alignment horizontal="center"/>
    </xf>
    <xf numFmtId="0" fontId="4" fillId="2" borderId="2" xfId="0" applyFont="1" applyFill="1" applyBorder="1" applyAlignment="1">
      <alignment horizontal="center"/>
    </xf>
    <xf numFmtId="0" fontId="0" fillId="2" borderId="2" xfId="0" applyFill="1" applyBorder="1" applyAlignment="1">
      <alignment horizontal="center"/>
    </xf>
    <xf numFmtId="2" fontId="6" fillId="0" borderId="2" xfId="0" applyNumberFormat="1" applyFont="1" applyBorder="1" applyAlignment="1">
      <alignment horizontal="center" vertical="center"/>
    </xf>
    <xf numFmtId="2" fontId="6" fillId="0" borderId="13" xfId="0" applyNumberFormat="1" applyFont="1" applyBorder="1" applyAlignment="1">
      <alignment horizontal="center" vertical="center"/>
    </xf>
    <xf numFmtId="168" fontId="7" fillId="0" borderId="1" xfId="2" applyNumberFormat="1" applyFont="1" applyBorder="1" applyAlignment="1">
      <alignment horizontal="center" vertical="center"/>
    </xf>
    <xf numFmtId="168" fontId="7" fillId="0" borderId="17" xfId="2" applyNumberFormat="1" applyFont="1" applyBorder="1" applyAlignment="1">
      <alignment horizontal="center" vertical="center"/>
    </xf>
    <xf numFmtId="168" fontId="6" fillId="0" borderId="19" xfId="2" applyNumberFormat="1" applyFont="1" applyBorder="1" applyAlignment="1">
      <alignment horizontal="center" vertical="center"/>
    </xf>
    <xf numFmtId="168" fontId="6" fillId="0" borderId="23" xfId="2" applyNumberFormat="1" applyFont="1" applyBorder="1" applyAlignment="1">
      <alignment horizontal="center" vertical="center"/>
    </xf>
    <xf numFmtId="168" fontId="6" fillId="0" borderId="20" xfId="2" applyNumberFormat="1" applyFont="1" applyBorder="1" applyAlignment="1">
      <alignment horizontal="center" vertical="center"/>
    </xf>
    <xf numFmtId="168" fontId="7" fillId="0" borderId="14" xfId="0" applyNumberFormat="1" applyFont="1" applyBorder="1" applyAlignment="1">
      <alignment horizontal="center" vertical="center"/>
    </xf>
    <xf numFmtId="168" fontId="7" fillId="0" borderId="15" xfId="0" applyNumberFormat="1" applyFont="1" applyBorder="1" applyAlignment="1">
      <alignment horizontal="center" vertical="center"/>
    </xf>
    <xf numFmtId="168" fontId="7" fillId="0" borderId="14" xfId="2" applyNumberFormat="1" applyFont="1" applyBorder="1" applyAlignment="1">
      <alignment horizontal="center" vertical="center"/>
    </xf>
    <xf numFmtId="168" fontId="7" fillId="0" borderId="0" xfId="2" applyNumberFormat="1" applyFont="1" applyBorder="1" applyAlignment="1">
      <alignment horizontal="center" vertical="center"/>
    </xf>
    <xf numFmtId="168" fontId="7" fillId="0" borderId="15" xfId="2" applyNumberFormat="1" applyFont="1" applyBorder="1" applyAlignment="1">
      <alignment horizontal="center" vertical="center"/>
    </xf>
    <xf numFmtId="0" fontId="4" fillId="2" borderId="1" xfId="0" applyFont="1" applyFill="1" applyBorder="1" applyAlignment="1">
      <alignment horizontal="center"/>
    </xf>
    <xf numFmtId="0" fontId="5" fillId="2" borderId="0" xfId="0" applyFont="1" applyFill="1" applyAlignment="1">
      <alignment horizontal="center"/>
    </xf>
    <xf numFmtId="0" fontId="5" fillId="2" borderId="76" xfId="0" applyFont="1" applyFill="1" applyBorder="1" applyAlignment="1">
      <alignment horizontal="center"/>
    </xf>
    <xf numFmtId="3" fontId="0" fillId="0" borderId="76" xfId="0" applyNumberFormat="1" applyBorder="1" applyAlignment="1">
      <alignment horizontal="center"/>
    </xf>
    <xf numFmtId="0" fontId="0" fillId="0" borderId="76" xfId="0" applyBorder="1" applyAlignment="1">
      <alignment horizontal="center"/>
    </xf>
    <xf numFmtId="0" fontId="4" fillId="2" borderId="76" xfId="0" applyFont="1" applyFill="1" applyBorder="1" applyAlignment="1">
      <alignment horizontal="center"/>
    </xf>
    <xf numFmtId="0" fontId="13" fillId="2" borderId="76" xfId="0" applyFont="1" applyFill="1" applyBorder="1" applyAlignment="1">
      <alignment horizontal="center"/>
    </xf>
    <xf numFmtId="0" fontId="14" fillId="2" borderId="76" xfId="0" applyFont="1" applyFill="1" applyBorder="1" applyAlignment="1">
      <alignment horizontal="center"/>
    </xf>
    <xf numFmtId="0" fontId="6" fillId="18" borderId="147" xfId="0" applyFont="1" applyFill="1" applyBorder="1" applyAlignment="1">
      <alignment horizontal="center" wrapText="1"/>
    </xf>
    <xf numFmtId="0" fontId="6" fillId="18" borderId="148" xfId="0" applyFont="1" applyFill="1" applyBorder="1" applyAlignment="1">
      <alignment horizontal="center" wrapText="1"/>
    </xf>
    <xf numFmtId="10" fontId="0" fillId="0" borderId="0" xfId="0" applyNumberFormat="1" applyAlignment="1">
      <alignment horizontal="center" vertical="center"/>
    </xf>
    <xf numFmtId="0" fontId="0" fillId="0" borderId="0" xfId="0" applyAlignment="1">
      <alignment horizontal="center" vertical="center"/>
    </xf>
  </cellXfs>
  <cellStyles count="8">
    <cellStyle name="Komma" xfId="1" builtinId="3"/>
    <cellStyle name="Komma 2" xfId="4" xr:uid="{00000000-0005-0000-0000-000001000000}"/>
    <cellStyle name="Link" xfId="7" builtinId="8"/>
    <cellStyle name="Prozent" xfId="3" builtinId="5"/>
    <cellStyle name="Standard" xfId="0" builtinId="0"/>
    <cellStyle name="Währung" xfId="2" builtinId="4"/>
    <cellStyle name="Währung 2" xfId="5" xr:uid="{00000000-0005-0000-0000-000006000000}"/>
    <cellStyle name="Währung 3" xfId="6" xr:uid="{00000000-0005-0000-0000-000007000000}"/>
  </cellStyles>
  <dxfs count="260">
    <dxf>
      <font>
        <b val="0"/>
        <i val="0"/>
        <strike val="0"/>
        <condense val="0"/>
        <extend val="0"/>
        <outline val="0"/>
        <shadow val="0"/>
        <u val="none"/>
        <vertAlign val="baseline"/>
        <sz val="11"/>
        <color theme="1"/>
        <name val="Calibri"/>
        <scheme val="minor"/>
      </font>
      <numFmt numFmtId="12" formatCode="#,##0.00\ &quot;€&quot;;[Red]\-#,##0.00\ &quot;€&quot;"/>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12" formatCode="#,##0.00\ &quot;€&quot;;[Red]\-#,##0.00\ &quot;€&quot;"/>
      <border diagonalUp="0" diagonalDown="0">
        <left/>
        <right/>
        <top style="thin">
          <color theme="8"/>
        </top>
        <bottom/>
        <vertical/>
        <horizontal/>
      </border>
    </dxf>
    <dxf>
      <font>
        <b/>
        <i val="0"/>
        <strike val="0"/>
        <condense val="0"/>
        <extend val="0"/>
        <outline val="0"/>
        <shadow val="0"/>
        <u val="none"/>
        <vertAlign val="baseline"/>
        <sz val="11"/>
        <color theme="0"/>
        <name val="Calibri"/>
        <scheme val="minor"/>
      </font>
      <fill>
        <patternFill patternType="solid">
          <fgColor theme="8"/>
          <bgColor theme="8"/>
        </patternFill>
      </fill>
      <border diagonalUp="0" diagonalDown="0">
        <left/>
        <right/>
        <top style="thin">
          <color theme="8"/>
        </top>
        <bottom/>
        <vertical/>
        <horizontal/>
      </border>
    </dxf>
    <dxf>
      <border outline="0">
        <bottom style="thin">
          <color theme="8"/>
        </bottom>
      </border>
    </dxf>
    <dxf>
      <fill>
        <patternFill>
          <bgColor theme="5" tint="0.59996337778862885"/>
        </patternFill>
      </fill>
    </dxf>
    <dxf>
      <fill>
        <patternFill>
          <fgColor theme="0"/>
          <bgColor theme="5" tint="0.59996337778862885"/>
        </patternFill>
      </fill>
    </dxf>
    <dxf>
      <fill>
        <patternFill patternType="solid">
          <fgColor theme="5" tint="0.59996337778862885"/>
          <bgColor theme="5" tint="0.599963377788628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strike val="0"/>
        <outline val="0"/>
        <shadow val="0"/>
        <u val="none"/>
        <vertAlign val="baseline"/>
        <sz val="11"/>
        <color auto="1"/>
        <name val="Calibri"/>
        <scheme val="minor"/>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ont>
        <strike val="0"/>
        <outline val="0"/>
        <shadow val="0"/>
        <u val="none"/>
        <vertAlign val="baseline"/>
        <sz val="11"/>
        <color auto="1"/>
        <name val="Calibri"/>
        <scheme val="minor"/>
      </font>
      <fill>
        <patternFill patternType="solid">
          <fgColor indexed="64"/>
          <bgColor theme="0"/>
        </patternFill>
      </fill>
      <border diagonalUp="0" diagonalDown="0" outline="0">
        <left style="thin">
          <color auto="1"/>
        </left>
        <right style="thin">
          <color auto="1"/>
        </right>
        <top style="thin">
          <color auto="1"/>
        </top>
        <bottom style="thin">
          <color auto="1"/>
        </bottom>
      </border>
    </dxf>
    <dxf>
      <fill>
        <patternFill patternType="solid">
          <fgColor indexed="64"/>
          <bgColor theme="0"/>
        </patternFill>
      </fill>
      <border diagonalUp="0" diagonalDown="0" outline="0">
        <left style="thin">
          <color auto="1"/>
        </left>
        <right style="thin">
          <color auto="1"/>
        </right>
        <top style="thin">
          <color auto="1"/>
        </top>
        <bottom style="thin">
          <color auto="1"/>
        </bottom>
      </border>
    </dxf>
    <dxf>
      <fill>
        <patternFill patternType="solid">
          <fgColor indexed="64"/>
          <bgColor theme="0"/>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theme="0"/>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theme="2"/>
        </patternFill>
      </fill>
    </dxf>
    <dxf>
      <fill>
        <patternFill patternType="solid">
          <fgColor indexed="64"/>
          <bgColor theme="2"/>
        </patternFill>
      </fill>
    </dxf>
    <dxf>
      <fill>
        <patternFill patternType="solid">
          <fgColor indexed="64"/>
          <bgColor theme="4" tint="0.39997558519241921"/>
        </patternFill>
      </fill>
    </dxf>
    <dxf>
      <alignment horizontal="center" vertical="bottom" textRotation="0" wrapText="0" indent="0" justifyLastLine="0" shrinkToFit="0" readingOrder="0"/>
      <border>
        <left style="thin">
          <color theme="4" tint="-0.499984740745262"/>
        </left>
        <right style="thin">
          <color theme="4" tint="-0.499984740745262"/>
        </right>
      </border>
    </dxf>
    <dxf>
      <alignment horizontal="center" vertical="bottom" textRotation="0" wrapText="0" indent="0" justifyLastLine="0" shrinkToFit="0" readingOrder="0"/>
      <border>
        <left style="thin">
          <color theme="4" tint="-0.499984740745262"/>
        </left>
        <right style="thin">
          <color theme="4" tint="-0.499984740745262"/>
        </right>
      </border>
    </dxf>
    <dxf>
      <alignment horizontal="center" vertical="bottom" textRotation="0" wrapText="0" indent="0" justifyLastLine="0" shrinkToFit="0" readingOrder="0"/>
      <border outline="0">
        <left style="thin">
          <color theme="4" tint="-0.499984740745262"/>
        </left>
      </border>
    </dxf>
    <dxf>
      <alignment horizontal="center" vertical="bottom" textRotation="0" wrapText="0" indent="0" justifyLastLine="0" shrinkToFit="0" readingOrder="0"/>
      <border outline="0">
        <left style="thin">
          <color theme="4" tint="-0.499984740745262"/>
        </left>
        <right style="thin">
          <color theme="4" tint="-0.499984740745262"/>
        </right>
      </border>
    </dxf>
    <dxf>
      <alignment horizontal="center" vertical="bottom" textRotation="0" wrapText="0" indent="0" justifyLastLine="0" shrinkToFit="0" readingOrder="0"/>
      <border outline="0">
        <left style="thin">
          <color theme="4" tint="-0.499984740745262"/>
        </left>
        <right style="thin">
          <color theme="4" tint="-0.499984740745262"/>
        </right>
      </border>
    </dxf>
    <dxf>
      <alignment horizontal="center" vertical="bottom" textRotation="0" wrapText="0" indent="0" justifyLastLine="0" shrinkToFit="0" readingOrder="0"/>
      <border outline="0">
        <left style="thin">
          <color theme="4" tint="-0.499984740745262"/>
        </left>
        <right style="thin">
          <color theme="4" tint="-0.499984740745262"/>
        </right>
      </border>
    </dxf>
    <dxf>
      <alignment horizontal="center" vertical="bottom" textRotation="0" wrapText="0" indent="0" justifyLastLine="0" shrinkToFit="0" readingOrder="0"/>
      <border outline="0">
        <left style="thin">
          <color theme="4" tint="-0.499984740745262"/>
        </left>
        <right style="thin">
          <color theme="4" tint="-0.499984740745262"/>
        </right>
      </border>
    </dxf>
    <dxf>
      <alignment horizontal="center" vertical="bottom" textRotation="0" wrapText="0" indent="0" justifyLastLine="0" shrinkToFit="0" readingOrder="0"/>
      <border outline="0">
        <right style="thin">
          <color theme="4" tint="-0.499984740745262"/>
        </right>
      </border>
    </dxf>
    <dxf>
      <border outline="0">
        <right style="thin">
          <color theme="4" tint="-0.499984740745262"/>
        </right>
      </border>
    </dxf>
    <dxf>
      <alignment horizontal="center" vertical="bottom" textRotation="0" wrapText="0" indent="0" justifyLastLine="0" shrinkToFit="0" readingOrder="0"/>
      <border>
        <left style="thin">
          <color theme="4" tint="-0.499984740745262"/>
        </left>
        <right style="thin">
          <color theme="4" tint="-0.499984740745262"/>
        </right>
      </border>
    </dxf>
    <dxf>
      <alignment horizontal="center" vertical="bottom" textRotation="0" wrapText="0" indent="0" justifyLastLine="0" shrinkToFit="0" readingOrder="0"/>
      <border>
        <left style="thin">
          <color theme="4" tint="-0.499984740745262"/>
        </left>
        <right style="thin">
          <color theme="4" tint="-0.499984740745262"/>
        </right>
      </border>
    </dxf>
    <dxf>
      <alignment horizontal="center" vertical="bottom" textRotation="0" wrapText="0" indent="0" justifyLastLine="0" shrinkToFit="0" readingOrder="0"/>
      <border outline="0">
        <left style="thin">
          <color theme="4" tint="-0.499984740745262"/>
        </left>
      </border>
    </dxf>
    <dxf>
      <alignment horizontal="center" vertical="bottom" textRotation="0" wrapText="0" indent="0" justifyLastLine="0" shrinkToFit="0" readingOrder="0"/>
      <border outline="0">
        <left style="thin">
          <color theme="4" tint="-0.499984740745262"/>
        </left>
        <right style="thin">
          <color theme="4" tint="-0.499984740745262"/>
        </right>
      </border>
    </dxf>
    <dxf>
      <alignment horizontal="center" vertical="bottom" textRotation="0" wrapText="0" indent="0" justifyLastLine="0" shrinkToFit="0" readingOrder="0"/>
      <border outline="0">
        <left style="thin">
          <color theme="4" tint="-0.499984740745262"/>
        </left>
        <right style="thin">
          <color theme="4" tint="-0.499984740745262"/>
        </right>
      </border>
    </dxf>
    <dxf>
      <alignment horizontal="center" vertical="bottom" textRotation="0" wrapText="0" indent="0" justifyLastLine="0" shrinkToFit="0" readingOrder="0"/>
      <border outline="0">
        <left style="thin">
          <color theme="4" tint="-0.499984740745262"/>
        </left>
        <right style="thin">
          <color theme="4" tint="-0.499984740745262"/>
        </right>
      </border>
    </dxf>
    <dxf>
      <alignment horizontal="center" vertical="bottom" textRotation="0" wrapText="0" indent="0" justifyLastLine="0" shrinkToFit="0" readingOrder="0"/>
      <border outline="0">
        <left style="thin">
          <color theme="4" tint="-0.499984740745262"/>
        </left>
        <right style="thin">
          <color theme="4" tint="-0.499984740745262"/>
        </right>
      </border>
    </dxf>
    <dxf>
      <alignment horizontal="center" vertical="bottom" textRotation="0" wrapText="0" indent="0" justifyLastLine="0" shrinkToFit="0" readingOrder="0"/>
      <border outline="0">
        <right style="thin">
          <color theme="4" tint="-0.499984740745262"/>
        </right>
      </border>
    </dxf>
    <dxf>
      <border outline="0">
        <right style="thin">
          <color theme="4" tint="-0.499984740745262"/>
        </right>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left style="thin">
          <color theme="4" tint="-0.499984740745262"/>
        </left>
        <right style="thin">
          <color theme="4" tint="-0.499984740745262"/>
        </right>
      </border>
    </dxf>
    <dxf>
      <alignment horizontal="center" vertical="bottom" textRotation="0" wrapText="0" indent="0" justifyLastLine="0" shrinkToFit="0" readingOrder="0"/>
      <border>
        <left style="thin">
          <color theme="4" tint="-0.499984740745262"/>
        </left>
        <right style="thin">
          <color theme="4" tint="-0.499984740745262"/>
        </right>
      </border>
    </dxf>
    <dxf>
      <alignment horizontal="center" vertical="bottom" textRotation="0" wrapText="0" indent="0" justifyLastLine="0" shrinkToFit="0" readingOrder="0"/>
      <border outline="0">
        <left style="thin">
          <color theme="4" tint="-0.499984740745262"/>
        </left>
      </border>
    </dxf>
    <dxf>
      <alignment horizontal="center" vertical="bottom" textRotation="0" wrapText="0" indent="0" justifyLastLine="0" shrinkToFit="0" readingOrder="0"/>
      <border outline="0">
        <left style="thin">
          <color theme="4" tint="-0.499984740745262"/>
        </left>
        <right style="thin">
          <color theme="4" tint="-0.499984740745262"/>
        </right>
      </border>
    </dxf>
    <dxf>
      <alignment horizontal="center" vertical="bottom" textRotation="0" wrapText="0" indent="0" justifyLastLine="0" shrinkToFit="0" readingOrder="0"/>
      <border outline="0">
        <left style="thin">
          <color theme="4" tint="-0.499984740745262"/>
        </left>
        <right style="thin">
          <color theme="4" tint="-0.499984740745262"/>
        </right>
      </border>
    </dxf>
    <dxf>
      <alignment horizontal="center" vertical="bottom" textRotation="0" wrapText="0" indent="0" justifyLastLine="0" shrinkToFit="0" readingOrder="0"/>
      <border outline="0">
        <left style="thin">
          <color theme="4" tint="-0.499984740745262"/>
        </left>
        <right style="thin">
          <color theme="4" tint="-0.499984740745262"/>
        </right>
      </border>
    </dxf>
    <dxf>
      <alignment horizontal="center" vertical="bottom" textRotation="0" wrapText="0" indent="0" justifyLastLine="0" shrinkToFit="0" readingOrder="0"/>
      <border outline="0">
        <left style="thin">
          <color theme="4" tint="-0.499984740745262"/>
        </left>
        <right style="thin">
          <color theme="4" tint="-0.499984740745262"/>
        </right>
      </border>
    </dxf>
    <dxf>
      <alignment horizontal="center" vertical="bottom" textRotation="0" wrapText="0" indent="0" justifyLastLine="0" shrinkToFit="0" readingOrder="0"/>
      <border outline="0">
        <right style="thin">
          <color theme="4" tint="-0.499984740745262"/>
        </right>
      </border>
    </dxf>
    <dxf>
      <border outline="0">
        <right style="thin">
          <color theme="4" tint="-0.499984740745262"/>
        </right>
      </border>
    </dxf>
    <dxf>
      <fill>
        <patternFill patternType="solid">
          <fgColor indexed="64"/>
          <bgColor theme="0"/>
        </patternFill>
      </fill>
      <alignment horizontal="center" vertical="bottom" textRotation="0" wrapText="0" indent="0" justifyLastLine="0" shrinkToFit="0" readingOrder="0"/>
      <border outline="0">
        <left style="thin">
          <color theme="4" tint="-0.499984740745262"/>
        </left>
        <right style="thin">
          <color theme="4" tint="-0.499984740745262"/>
        </right>
      </border>
    </dxf>
    <dxf>
      <fill>
        <patternFill patternType="solid">
          <fgColor indexed="64"/>
          <bgColor theme="4" tint="0.39997558519241921"/>
        </patternFill>
      </fill>
      <alignment horizontal="center" vertical="bottom" textRotation="0" wrapText="0" indent="0" justifyLastLine="0" shrinkToFit="0" readingOrder="0"/>
      <border outline="0">
        <left style="thin">
          <color theme="4" tint="-0.499984740745262"/>
        </left>
        <right style="thin">
          <color theme="4" tint="-0.499984740745262"/>
        </right>
      </border>
    </dxf>
    <dxf>
      <fill>
        <patternFill patternType="solid">
          <fgColor indexed="64"/>
          <bgColor theme="4" tint="0.39997558519241921"/>
        </patternFill>
      </fill>
      <alignment horizontal="center" vertical="bottom" textRotation="0" wrapText="0" indent="0" justifyLastLine="0" shrinkToFit="0" readingOrder="0"/>
      <border outline="0">
        <left style="thin">
          <color theme="4" tint="-0.499984740745262"/>
        </left>
        <right style="thin">
          <color theme="4" tint="-0.499984740745262"/>
        </right>
      </border>
    </dxf>
    <dxf>
      <fill>
        <patternFill patternType="solid">
          <fgColor indexed="64"/>
          <bgColor theme="4" tint="0.39997558519241921"/>
        </patternFill>
      </fill>
      <alignment horizontal="center" vertical="bottom" textRotation="0" wrapText="0" indent="0" justifyLastLine="0" shrinkToFit="0" readingOrder="0"/>
      <border outline="0">
        <left style="thin">
          <color theme="4" tint="-0.499984740745262"/>
        </left>
        <right style="thin">
          <color theme="4" tint="-0.499984740745262"/>
        </right>
      </border>
    </dxf>
    <dxf>
      <fill>
        <patternFill patternType="solid">
          <fgColor indexed="64"/>
          <bgColor theme="4" tint="0.39997558519241921"/>
        </patternFill>
      </fill>
      <alignment horizontal="center" vertical="bottom" textRotation="0" wrapText="0" indent="0" justifyLastLine="0" shrinkToFit="0" readingOrder="0"/>
      <border outline="0">
        <left style="thin">
          <color theme="4" tint="-0.499984740745262"/>
        </left>
        <right style="thin">
          <color theme="4" tint="-0.499984740745262"/>
        </right>
      </border>
    </dxf>
    <dxf>
      <fill>
        <patternFill patternType="solid">
          <fgColor indexed="64"/>
          <bgColor theme="4" tint="0.39997558519241921"/>
        </patternFill>
      </fill>
      <alignment horizontal="center" vertical="bottom" textRotation="0" wrapText="0" indent="0" justifyLastLine="0" shrinkToFit="0" readingOrder="0"/>
      <border outline="0">
        <left style="thin">
          <color theme="4" tint="-0.499984740745262"/>
        </left>
        <right style="thin">
          <color theme="4" tint="-0.499984740745262"/>
        </right>
      </border>
    </dxf>
    <dxf>
      <fill>
        <patternFill patternType="solid">
          <fgColor indexed="64"/>
          <bgColor theme="4" tint="0.39997558519241921"/>
        </patternFill>
      </fill>
      <alignment horizontal="center" vertical="bottom" textRotation="0" wrapText="0" indent="0" justifyLastLine="0" shrinkToFit="0" readingOrder="0"/>
      <border outline="0">
        <right style="thin">
          <color theme="4" tint="-0.499984740745262"/>
        </right>
      </border>
    </dxf>
    <dxf>
      <border outline="0">
        <right style="thin">
          <color theme="4" tint="-0.499984740745262"/>
        </right>
      </border>
    </dxf>
    <dxf>
      <alignment horizontal="center" vertical="bottom" textRotation="0" wrapText="0" indent="0" justifyLastLine="0" shrinkToFit="0" readingOrder="0"/>
      <border diagonalUp="0" diagonalDown="0" outline="0">
        <left style="thin">
          <color theme="4" tint="-0.499984740745262"/>
        </left>
        <right/>
        <top style="thin">
          <color theme="4" tint="-0.499984740745262"/>
        </top>
        <bottom style="thin">
          <color theme="4" tint="-0.499984740745262"/>
        </bottom>
      </border>
    </dxf>
    <dxf>
      <alignment horizontal="center" vertical="bottom" textRotation="0" wrapText="0" indent="0" justifyLastLine="0" shrinkToFit="0" readingOrder="0"/>
      <border diagonalUp="0" diagonalDown="0" outline="0">
        <left style="thin">
          <color theme="4" tint="-0.499984740745262"/>
        </left>
        <right style="thin">
          <color theme="4" tint="-0.499984740745262"/>
        </right>
        <top style="thin">
          <color theme="4" tint="-0.499984740745262"/>
        </top>
        <bottom style="thin">
          <color theme="4" tint="-0.499984740745262"/>
        </bottom>
      </border>
    </dxf>
    <dxf>
      <alignment horizontal="center" vertical="bottom" textRotation="0" wrapText="0" indent="0" justifyLastLine="0" shrinkToFit="0" readingOrder="0"/>
      <border diagonalUp="0" diagonalDown="0" outline="0">
        <left style="thin">
          <color theme="4" tint="-0.499984740745262"/>
        </left>
        <right style="thin">
          <color theme="4" tint="-0.499984740745262"/>
        </right>
        <top style="thin">
          <color theme="4" tint="-0.499984740745262"/>
        </top>
        <bottom style="thin">
          <color theme="4" tint="-0.499984740745262"/>
        </bottom>
      </border>
    </dxf>
    <dxf>
      <alignment horizontal="center" vertical="bottom" textRotation="0" wrapText="0" indent="0" justifyLastLine="0" shrinkToFit="0" readingOrder="0"/>
      <border diagonalUp="0" diagonalDown="0" outline="0">
        <left style="thin">
          <color theme="4" tint="-0.499984740745262"/>
        </left>
        <right style="thin">
          <color theme="4" tint="-0.499984740745262"/>
        </right>
        <top style="thin">
          <color theme="4" tint="-0.499984740745262"/>
        </top>
        <bottom style="thin">
          <color theme="4" tint="-0.499984740745262"/>
        </bottom>
      </border>
    </dxf>
    <dxf>
      <alignment horizontal="center" vertical="bottom" textRotation="0" wrapText="0" indent="0" justifyLastLine="0" shrinkToFit="0" readingOrder="0"/>
      <border diagonalUp="0" diagonalDown="0" outline="0">
        <left style="thin">
          <color theme="4" tint="-0.499984740745262"/>
        </left>
        <right style="thin">
          <color theme="4" tint="-0.499984740745262"/>
        </right>
        <top style="thin">
          <color theme="4" tint="-0.499984740745262"/>
        </top>
        <bottom style="thin">
          <color theme="4" tint="-0.499984740745262"/>
        </bottom>
      </border>
    </dxf>
    <dxf>
      <alignment horizontal="center" vertical="bottom" textRotation="0" wrapText="0" indent="0" justifyLastLine="0" shrinkToFit="0" readingOrder="0"/>
      <border diagonalUp="0" diagonalDown="0" outline="0">
        <left style="thin">
          <color theme="4" tint="-0.499984740745262"/>
        </left>
        <right style="thin">
          <color theme="4" tint="-0.499984740745262"/>
        </right>
        <top style="thin">
          <color theme="4" tint="-0.499984740745262"/>
        </top>
        <bottom style="thin">
          <color theme="4" tint="-0.499984740745262"/>
        </bottom>
      </border>
    </dxf>
    <dxf>
      <border diagonalUp="0" diagonalDown="0" outline="0">
        <left style="thin">
          <color theme="4" tint="-0.499984740745262"/>
        </left>
        <right style="thin">
          <color theme="4" tint="-0.499984740745262"/>
        </right>
        <top style="thin">
          <color theme="4" tint="-0.499984740745262"/>
        </top>
        <bottom style="thin">
          <color theme="4" tint="-0.499984740745262"/>
        </bottom>
      </border>
    </dxf>
    <dxf>
      <border diagonalUp="0" diagonalDown="0">
        <left/>
        <right style="thin">
          <color theme="4" tint="-0.499984740745262"/>
        </right>
        <top style="thin">
          <color theme="4" tint="-0.499984740745262"/>
        </top>
        <bottom style="thin">
          <color theme="4" tint="-0.499984740745262"/>
        </bottom>
        <vertical style="thin">
          <color theme="4" tint="-0.499984740745262"/>
        </vertical>
        <horizontal style="thin">
          <color theme="4" tint="-0.499984740745262"/>
        </horizontal>
      </border>
    </dxf>
    <dxf>
      <border diagonalUp="0" diagonalDown="0">
        <left style="thin">
          <color theme="4" tint="-0.499984740745262"/>
        </left>
        <right style="thin">
          <color theme="4" tint="-0.499984740745262"/>
        </right>
        <top/>
        <bottom/>
        <vertical style="thin">
          <color theme="4" tint="-0.499984740745262"/>
        </vertical>
        <horizontal style="thin">
          <color theme="4" tint="-0.499984740745262"/>
        </horizontal>
      </border>
    </dxf>
    <dxf>
      <fill>
        <patternFill patternType="solid">
          <fgColor indexed="64"/>
          <bgColor theme="4" tint="-0.499984740745262"/>
        </patternFill>
      </fill>
      <border diagonalUp="0" diagonalDown="0">
        <left style="thin">
          <color theme="4" tint="-0.499984740745262"/>
        </left>
        <right style="thin">
          <color theme="4" tint="-0.499984740745262"/>
        </right>
        <top style="thin">
          <color theme="4" tint="-0.499984740745262"/>
        </top>
        <bottom style="thin">
          <color theme="4" tint="-0.499984740745262"/>
        </bottom>
        <vertical/>
        <horizontal/>
      </border>
    </dxf>
    <dxf>
      <border diagonalUp="0" diagonalDown="0">
        <left style="thin">
          <color theme="4" tint="-0.499984740745262"/>
        </left>
        <right/>
        <top style="thin">
          <color theme="4" tint="-0.499984740745262"/>
        </top>
        <bottom style="thin">
          <color theme="4" tint="-0.499984740745262"/>
        </bottom>
        <vertical style="thin">
          <color theme="4" tint="-0.499984740745262"/>
        </vertical>
        <horizontal style="thin">
          <color theme="4" tint="-0.499984740745262"/>
        </horizontal>
      </border>
    </dxf>
    <dxf>
      <border diagonalUp="0" diagonalDown="0">
        <left style="thin">
          <color theme="4" tint="-0.499984740745262"/>
        </left>
        <right style="thin">
          <color theme="4" tint="-0.499984740745262"/>
        </right>
        <top style="thin">
          <color theme="4" tint="-0.499984740745262"/>
        </top>
        <bottom style="thin">
          <color theme="4" tint="-0.499984740745262"/>
        </bottom>
        <vertical style="thin">
          <color theme="4" tint="-0.499984740745262"/>
        </vertical>
        <horizontal style="thin">
          <color theme="4" tint="-0.499984740745262"/>
        </horizontal>
      </border>
    </dxf>
    <dxf>
      <numFmt numFmtId="2" formatCode="0.00"/>
      <border diagonalUp="0" diagonalDown="0">
        <left style="thin">
          <color theme="4" tint="-0.499984740745262"/>
        </left>
        <right style="thin">
          <color theme="4" tint="-0.499984740745262"/>
        </right>
        <top style="thin">
          <color theme="4" tint="-0.499984740745262"/>
        </top>
        <bottom style="thin">
          <color theme="4" tint="-0.499984740745262"/>
        </bottom>
        <vertical style="thin">
          <color theme="4" tint="-0.499984740745262"/>
        </vertical>
        <horizontal style="thin">
          <color theme="4" tint="-0.499984740745262"/>
        </horizontal>
      </border>
    </dxf>
    <dxf>
      <border diagonalUp="0" diagonalDown="0">
        <left style="thin">
          <color theme="4" tint="-0.499984740745262"/>
        </left>
        <right style="thin">
          <color theme="4" tint="-0.499984740745262"/>
        </right>
        <top style="thin">
          <color theme="4" tint="-0.499984740745262"/>
        </top>
        <bottom style="thin">
          <color theme="4" tint="-0.499984740745262"/>
        </bottom>
        <vertical style="thin">
          <color theme="4" tint="-0.499984740745262"/>
        </vertical>
        <horizontal style="thin">
          <color theme="4" tint="-0.499984740745262"/>
        </horizontal>
      </border>
    </dxf>
    <dxf>
      <border diagonalUp="0" diagonalDown="0">
        <left/>
        <right style="thin">
          <color theme="4" tint="-0.499984740745262"/>
        </right>
        <top style="thin">
          <color theme="4" tint="-0.499984740745262"/>
        </top>
        <bottom style="thin">
          <color theme="4" tint="-0.499984740745262"/>
        </bottom>
        <vertical style="thin">
          <color theme="4" tint="-0.499984740745262"/>
        </vertical>
        <horizontal style="thin">
          <color theme="4" tint="-0.499984740745262"/>
        </horizontal>
      </border>
    </dxf>
    <dxf>
      <border diagonalUp="0" diagonalDown="0">
        <left style="thin">
          <color theme="4" tint="-0.499984740745262"/>
        </left>
        <right style="thin">
          <color theme="4" tint="-0.499984740745262"/>
        </right>
        <top/>
        <bottom/>
        <vertical style="thin">
          <color theme="4" tint="-0.499984740745262"/>
        </vertical>
        <horizontal style="thin">
          <color theme="4" tint="-0.499984740745262"/>
        </horizontal>
      </border>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4" tint="-0.499984740745262"/>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4" tint="-0.499984740745262"/>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4" tint="-0.499984740745262"/>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4" tint="0.39997558519241921"/>
        </patternFill>
      </fill>
    </dxf>
    <dxf>
      <fill>
        <patternFill>
          <bgColor theme="5" tint="0.59996337778862885"/>
        </patternFill>
      </fill>
    </dxf>
    <dxf>
      <fill>
        <patternFill>
          <fgColor theme="0"/>
          <bgColor theme="5" tint="0.59996337778862885"/>
        </patternFill>
      </fill>
    </dxf>
    <dxf>
      <fill>
        <patternFill patternType="solid">
          <fgColor theme="5" tint="0.59996337778862885"/>
          <bgColor theme="5" tint="0.59996337778862885"/>
        </patternFill>
      </fill>
    </dxf>
    <dxf>
      <fill>
        <patternFill>
          <bgColor theme="5" tint="0.59996337778862885"/>
        </patternFill>
      </fill>
    </dxf>
    <dxf>
      <fill>
        <patternFill>
          <bgColor theme="5" tint="0.59996337778862885"/>
        </patternFill>
      </fill>
    </dxf>
    <dxf>
      <fill>
        <patternFill>
          <fgColor theme="0"/>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fgColor theme="0"/>
          <bgColor theme="5" tint="0.59996337778862885"/>
        </patternFill>
      </fill>
    </dxf>
    <dxf>
      <fill>
        <patternFill>
          <bgColor theme="5" tint="0.59996337778862885"/>
        </patternFill>
      </fill>
    </dxf>
    <dxf>
      <fill>
        <patternFill>
          <bgColor theme="5" tint="0.59996337778862885"/>
        </patternFill>
      </fill>
    </dxf>
    <dxf>
      <fill>
        <patternFill>
          <fgColor theme="0"/>
          <bgColor theme="5" tint="0.59996337778862885"/>
        </patternFill>
      </fill>
    </dxf>
    <dxf>
      <fill>
        <patternFill patternType="solid">
          <fgColor theme="5" tint="0.59996337778862885"/>
          <bgColor theme="5" tint="0.59996337778862885"/>
        </patternFill>
      </fill>
    </dxf>
    <dxf>
      <fill>
        <patternFill>
          <bgColor theme="5" tint="0.59996337778862885"/>
        </patternFill>
      </fill>
    </dxf>
    <dxf>
      <fill>
        <patternFill>
          <bgColor theme="5" tint="0.59996337778862885"/>
        </patternFill>
      </fill>
    </dxf>
    <dxf>
      <fill>
        <patternFill>
          <fgColor theme="0"/>
          <bgColor theme="5" tint="0.59996337778862885"/>
        </patternFill>
      </fill>
    </dxf>
    <dxf>
      <fill>
        <patternFill patternType="solid">
          <fgColor theme="5" tint="0.59996337778862885"/>
          <bgColor theme="5" tint="0.5999633777886288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patternType="solid">
          <bgColor rgb="FFFF000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fgColor theme="0"/>
          <bgColor theme="5" tint="0.39991454817346722"/>
        </patternFill>
      </fill>
    </dxf>
    <dxf>
      <fill>
        <patternFill patternType="solid">
          <fgColor theme="0"/>
          <bgColor theme="5" tint="0.39994506668294322"/>
        </patternFill>
      </fill>
    </dxf>
    <dxf>
      <fill>
        <patternFill>
          <bgColor theme="5" tint="0.59996337778862885"/>
        </patternFill>
      </fill>
    </dxf>
    <dxf>
      <fill>
        <patternFill>
          <bgColor theme="5" tint="0.59996337778862885"/>
        </patternFill>
      </fill>
    </dxf>
    <dxf>
      <fill>
        <patternFill>
          <fgColor theme="0"/>
          <bgColor theme="5" tint="0.59996337778862885"/>
        </patternFill>
      </fill>
    </dxf>
    <dxf>
      <fill>
        <patternFill patternType="solid">
          <fgColor theme="5" tint="0.59996337778862885"/>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441234</xdr:colOff>
      <xdr:row>33</xdr:row>
      <xdr:rowOff>80233</xdr:rowOff>
    </xdr:from>
    <xdr:to>
      <xdr:col>7</xdr:col>
      <xdr:colOff>998955</xdr:colOff>
      <xdr:row>35</xdr:row>
      <xdr:rowOff>135537</xdr:rowOff>
    </xdr:to>
    <xdr:pic>
      <xdr:nvPicPr>
        <xdr:cNvPr id="2" name="Grafik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8937534" y="5509483"/>
          <a:ext cx="1948371" cy="436304"/>
        </a:xfrm>
        <a:prstGeom prst="rect">
          <a:avLst/>
        </a:prstGeom>
      </xdr:spPr>
    </xdr:pic>
    <xdr:clientData/>
  </xdr:twoCellAnchor>
  <xdr:twoCellAnchor editAs="oneCell">
    <xdr:from>
      <xdr:col>8</xdr:col>
      <xdr:colOff>418192</xdr:colOff>
      <xdr:row>3</xdr:row>
      <xdr:rowOff>78468</xdr:rowOff>
    </xdr:from>
    <xdr:to>
      <xdr:col>13</xdr:col>
      <xdr:colOff>53067</xdr:colOff>
      <xdr:row>33</xdr:row>
      <xdr:rowOff>114768</xdr:rowOff>
    </xdr:to>
    <xdr:pic>
      <xdr:nvPicPr>
        <xdr:cNvPr id="4" name="Bild 86">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a:xfrm>
          <a:off x="15039067" y="821418"/>
          <a:ext cx="3587750" cy="5694150"/>
        </a:xfrm>
        <a:prstGeom prst="rect">
          <a:avLst/>
        </a:prstGeom>
      </xdr:spPr>
    </xdr:pic>
    <xdr:clientData/>
  </xdr:twoCellAnchor>
  <xdr:twoCellAnchor editAs="oneCell">
    <xdr:from>
      <xdr:col>11</xdr:col>
      <xdr:colOff>127000</xdr:colOff>
      <xdr:row>13</xdr:row>
      <xdr:rowOff>86178</xdr:rowOff>
    </xdr:from>
    <xdr:to>
      <xdr:col>13</xdr:col>
      <xdr:colOff>635000</xdr:colOff>
      <xdr:row>31</xdr:row>
      <xdr:rowOff>54078</xdr:rowOff>
    </xdr:to>
    <xdr:pic>
      <xdr:nvPicPr>
        <xdr:cNvPr id="6" name="Bild 86">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a:xfrm>
          <a:off x="15192375" y="2832553"/>
          <a:ext cx="2032000" cy="3559619"/>
        </a:xfrm>
        <a:prstGeom prst="rect">
          <a:avLst/>
        </a:prstGeom>
      </xdr:spPr>
    </xdr:pic>
    <xdr:clientData/>
  </xdr:twoCellAnchor>
  <xdr:twoCellAnchor editAs="oneCell">
    <xdr:from>
      <xdr:col>13</xdr:col>
      <xdr:colOff>10362</xdr:colOff>
      <xdr:row>19</xdr:row>
      <xdr:rowOff>167822</xdr:rowOff>
    </xdr:from>
    <xdr:to>
      <xdr:col>14</xdr:col>
      <xdr:colOff>319768</xdr:colOff>
      <xdr:row>29</xdr:row>
      <xdr:rowOff>64284</xdr:rowOff>
    </xdr:to>
    <xdr:pic>
      <xdr:nvPicPr>
        <xdr:cNvPr id="7" name="Bild 8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a:xfrm>
          <a:off x="17890148" y="4100286"/>
          <a:ext cx="1071406" cy="18677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184526</xdr:colOff>
      <xdr:row>27</xdr:row>
      <xdr:rowOff>184148</xdr:rowOff>
    </xdr:from>
    <xdr:to>
      <xdr:col>13</xdr:col>
      <xdr:colOff>1297063</xdr:colOff>
      <xdr:row>30</xdr:row>
      <xdr:rowOff>196182</xdr:rowOff>
    </xdr:to>
    <xdr:pic>
      <xdr:nvPicPr>
        <xdr:cNvPr id="2" name="Grafik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8333981" y="6003057"/>
          <a:ext cx="2948264" cy="7047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184526</xdr:colOff>
      <xdr:row>27</xdr:row>
      <xdr:rowOff>184148</xdr:rowOff>
    </xdr:from>
    <xdr:to>
      <xdr:col>13</xdr:col>
      <xdr:colOff>1297063</xdr:colOff>
      <xdr:row>30</xdr:row>
      <xdr:rowOff>193147</xdr:rowOff>
    </xdr:to>
    <xdr:pic>
      <xdr:nvPicPr>
        <xdr:cNvPr id="2" name="Grafik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8845906" y="5716268"/>
          <a:ext cx="3002297" cy="6749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2792017</xdr:colOff>
      <xdr:row>0</xdr:row>
      <xdr:rowOff>77389</xdr:rowOff>
    </xdr:from>
    <xdr:to>
      <xdr:col>9</xdr:col>
      <xdr:colOff>1124859</xdr:colOff>
      <xdr:row>3</xdr:row>
      <xdr:rowOff>17858</xdr:rowOff>
    </xdr:to>
    <xdr:pic>
      <xdr:nvPicPr>
        <xdr:cNvPr id="3" name="Grafik 2">
          <a:extLst>
            <a:ext uri="{FF2B5EF4-FFF2-40B4-BE49-F238E27FC236}">
              <a16:creationId xmlns:a16="http://schemas.microsoft.com/office/drawing/2014/main" id="{39B4C9DB-8C3F-4BD2-A5B0-D604524B50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68517" y="77389"/>
          <a:ext cx="1696358" cy="404813"/>
        </a:xfrm>
        <a:prstGeom prst="rect">
          <a:avLst/>
        </a:prstGeom>
      </xdr:spPr>
    </xdr:pic>
    <xdr:clientData/>
  </xdr:twoCellAnchor>
  <xdr:twoCellAnchor editAs="oneCell">
    <xdr:from>
      <xdr:col>2</xdr:col>
      <xdr:colOff>1343269</xdr:colOff>
      <xdr:row>4</xdr:row>
      <xdr:rowOff>61056</xdr:rowOff>
    </xdr:from>
    <xdr:to>
      <xdr:col>4</xdr:col>
      <xdr:colOff>1811772</xdr:colOff>
      <xdr:row>7</xdr:row>
      <xdr:rowOff>82775</xdr:rowOff>
    </xdr:to>
    <xdr:pic>
      <xdr:nvPicPr>
        <xdr:cNvPr id="4" name="Grafik 3">
          <a:extLst>
            <a:ext uri="{FF2B5EF4-FFF2-40B4-BE49-F238E27FC236}">
              <a16:creationId xmlns:a16="http://schemas.microsoft.com/office/drawing/2014/main" id="{B9B6CD77-0366-44D2-A0FB-EB85DB5EB8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43654" y="647210"/>
          <a:ext cx="2813118" cy="63229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thomsen\Desktop\Calculationtool_240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thomsen\Desktop\Kalkulator\Neue%20Kalkulation\vereinheitlicher%20Kalkulator_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thomsen\AppData\Local\Microsoft\Windows\INetCache\Content.Outlook\PFYHT8Q3\20181112_Calc%20Tool_V1%201%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merkungen"/>
      <sheetName val="Input"/>
      <sheetName val="Output"/>
      <sheetName val="Offer"/>
      <sheetName val="Cost Calculation"/>
      <sheetName val="Checkliste"/>
      <sheetName val="Changes"/>
      <sheetName val="Referenzen Input"/>
      <sheetName val="Maintenance"/>
      <sheetName val="Unsheduled Maintenance"/>
      <sheetName val="Main Component"/>
      <sheetName val="Insurance"/>
      <sheetName val="Service Rates"/>
      <sheetName val="Tabelle2"/>
      <sheetName val="Calculationtool_2405"/>
    </sheetNames>
    <sheetDataSet>
      <sheetData sheetId="0"/>
      <sheetData sheetId="1"/>
      <sheetData sheetId="2"/>
      <sheetData sheetId="3"/>
      <sheetData sheetId="4"/>
      <sheetData sheetId="5"/>
      <sheetData sheetId="6"/>
      <sheetData sheetId="7">
        <row r="3">
          <cell r="J3" t="str">
            <v>Lattice Tower</v>
          </cell>
          <cell r="L3" t="str">
            <v>Basic</v>
          </cell>
          <cell r="M3" t="str">
            <v>none</v>
          </cell>
        </row>
        <row r="4">
          <cell r="J4" t="str">
            <v>Tabular Tower</v>
          </cell>
          <cell r="L4" t="str">
            <v>Basic +</v>
          </cell>
          <cell r="M4">
            <v>0.95</v>
          </cell>
        </row>
        <row r="5">
          <cell r="L5" t="str">
            <v>Basic variable</v>
          </cell>
          <cell r="M5">
            <v>0.96</v>
          </cell>
        </row>
        <row r="6">
          <cell r="L6" t="str">
            <v>VWoGK</v>
          </cell>
          <cell r="M6">
            <v>0.97</v>
          </cell>
        </row>
        <row r="7">
          <cell r="L7" t="str">
            <v>VWmGK</v>
          </cell>
          <cell r="M7">
            <v>0.97499999999999998</v>
          </cell>
        </row>
        <row r="8">
          <cell r="L8" t="str">
            <v>VVW</v>
          </cell>
          <cell r="M8">
            <v>0.98</v>
          </cell>
        </row>
        <row r="9">
          <cell r="M9">
            <v>0.98499999999999999</v>
          </cell>
        </row>
        <row r="10">
          <cell r="M10">
            <v>0.99</v>
          </cell>
        </row>
      </sheetData>
      <sheetData sheetId="8"/>
      <sheetData sheetId="9"/>
      <sheetData sheetId="10"/>
      <sheetData sheetId="11"/>
      <sheetData sheetId="12"/>
      <sheetData sheetId="13"/>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Data"/>
      <sheetName val="Offer"/>
      <sheetName val="Cost Calculation"/>
      <sheetName val="Maintenance"/>
      <sheetName val="Main Components"/>
      <sheetName val="Crane Costs"/>
      <sheetName val="External Costs"/>
      <sheetName val="Market Price"/>
      <sheetName val="Help"/>
    </sheetNames>
    <sheetDataSet>
      <sheetData sheetId="0"/>
      <sheetData sheetId="1"/>
      <sheetData sheetId="2"/>
      <sheetData sheetId="3"/>
      <sheetData sheetId="4"/>
      <sheetData sheetId="5"/>
      <sheetData sheetId="6"/>
      <sheetData sheetId="7"/>
      <sheetData sheetId="8">
        <row r="1">
          <cell r="A1" t="str">
            <v>Senvion</v>
          </cell>
          <cell r="B1" t="str">
            <v>Nordex</v>
          </cell>
          <cell r="C1" t="str">
            <v>Fuhrländer</v>
          </cell>
          <cell r="D1" t="str">
            <v>Vestas</v>
          </cell>
          <cell r="E1" t="str">
            <v>Siemens</v>
          </cell>
          <cell r="F1" t="str">
            <v>NEG</v>
          </cell>
          <cell r="G1" t="str">
            <v>Enercon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Output decentralized"/>
      <sheetName val="Output centralized"/>
      <sheetName val="Executive Summary"/>
      <sheetName val="Print"/>
      <sheetName val="Offer Sheet"/>
      <sheetName val="Change"/>
      <sheetName val="Cost Calculation"/>
      <sheetName val="Scheduled Maintenance"/>
      <sheetName val="Unscheduled Maintenance"/>
      <sheetName val="Main Component"/>
      <sheetName val="Options_neu"/>
      <sheetName val="Options"/>
      <sheetName val="Insurance "/>
      <sheetName val="Service Rates "/>
      <sheetName val="HelpInput"/>
    </sheetNames>
    <sheetDataSet>
      <sheetData sheetId="0">
        <row r="11">
          <cell r="D11">
            <v>24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0000000}" name="Tabelle19" displayName="Tabelle19" ref="B4:J35" totalsRowShown="0" headerRowDxfId="138" dataDxfId="137">
  <autoFilter ref="B4:J35" xr:uid="{00000000-0009-0000-0100-000013000000}"/>
  <tableColumns count="9">
    <tableColumn id="1" xr3:uid="{00000000-0010-0000-0000-000001000000}" name="Betriebjahr" dataDxfId="136"/>
    <tableColumn id="9" xr3:uid="{00000000-0010-0000-0000-000009000000}" name="Typ 1 " dataDxfId="135"/>
    <tableColumn id="2" xr3:uid="{00000000-0010-0000-0000-000002000000}" name="Typ 4" dataDxfId="134"/>
    <tableColumn id="3" xr3:uid="{00000000-0010-0000-0000-000003000000}" name="2J Wartung" dataDxfId="133"/>
    <tableColumn id="4" xr3:uid="{00000000-0010-0000-0000-000004000000}" name="3J Wartung" dataDxfId="132"/>
    <tableColumn id="5" xr3:uid="{00000000-0010-0000-0000-000005000000}" name="4J Wartung" dataDxfId="131"/>
    <tableColumn id="6" xr3:uid="{00000000-0010-0000-0000-000006000000}" name="6J Wartung" dataDxfId="130"/>
    <tableColumn id="7" xr3:uid="{00000000-0010-0000-0000-000007000000}" name="10J Wartung" dataDxfId="129"/>
    <tableColumn id="8" xr3:uid="{00000000-0010-0000-0000-000008000000}" name="20J Wartung" dataDxfId="128"/>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Tabelle4" displayName="Tabelle4" ref="BF5:BG31" totalsRowShown="0" dataDxfId="49">
  <autoFilter ref="BF5:BG31" xr:uid="{00000000-0009-0000-0100-000004000000}"/>
  <tableColumns count="2">
    <tableColumn id="1" xr3:uid="{00000000-0010-0000-0900-000001000000}" name="average" dataDxfId="48"/>
    <tableColumn id="2" xr3:uid="{00000000-0010-0000-0900-000002000000}" name="negative" dataDxfId="4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Tabelle5" displayName="Tabelle5" ref="BH5:BI31" totalsRowShown="0" dataDxfId="46">
  <autoFilter ref="BH5:BI31" xr:uid="{00000000-0009-0000-0100-000005000000}"/>
  <tableColumns count="2">
    <tableColumn id="1" xr3:uid="{00000000-0010-0000-0A00-000001000000}" name="average" dataDxfId="45"/>
    <tableColumn id="2" xr3:uid="{00000000-0010-0000-0A00-000002000000}" name="negative" dataDxfId="44"/>
  </tableColumns>
  <tableStyleInfo name="TableStyleLight1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B000000}" name="Tabelle6" displayName="Tabelle6" ref="BJ5:BK31" totalsRowShown="0" dataDxfId="43">
  <autoFilter ref="BJ5:BK31" xr:uid="{00000000-0009-0000-0100-000006000000}"/>
  <tableColumns count="2">
    <tableColumn id="1" xr3:uid="{00000000-0010-0000-0B00-000001000000}" name="average" dataDxfId="42"/>
    <tableColumn id="2" xr3:uid="{00000000-0010-0000-0B00-000002000000}" name="negative" dataDxfId="41"/>
  </tableColumns>
  <tableStyleInfo name="TableStyleLight13"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C000000}" name="Tabelle1722" displayName="Tabelle1722" ref="AG4:AP87" totalsRowShown="0">
  <autoFilter ref="AG4:AP87" xr:uid="{00000000-0009-0000-0100-000015000000}"/>
  <tableColumns count="10">
    <tableColumn id="1" xr3:uid="{00000000-0010-0000-0C00-000001000000}" name="Model"/>
    <tableColumn id="2" xr3:uid="{00000000-0010-0000-0C00-000002000000}" name="Hersteller" dataDxfId="40"/>
    <tableColumn id="3" xr3:uid="{00000000-0010-0000-0C00-000003000000}" name="Gearbox" dataDxfId="39"/>
    <tableColumn id="4" xr3:uid="{00000000-0010-0000-0C00-000004000000}" name="Generator" dataDxfId="38"/>
    <tableColumn id="5" xr3:uid="{00000000-0010-0000-0C00-000005000000}" name="Transformer" dataDxfId="37"/>
    <tableColumn id="6" xr3:uid="{00000000-0010-0000-0C00-000006000000}" name="Blade Bearing" dataDxfId="36"/>
    <tableColumn id="7" xr3:uid="{00000000-0010-0000-0C00-000007000000}" name="Yaw Gearbox" dataDxfId="35"/>
    <tableColumn id="8" xr3:uid="{00000000-0010-0000-0C00-000008000000}" name="Main Bearing &amp; Shaft" dataDxfId="34"/>
    <tableColumn id="9" xr3:uid="{00000000-0010-0000-0C00-000009000000}" name="Rotor" dataDxfId="33"/>
    <tableColumn id="10" xr3:uid="{00000000-0010-0000-0C00-00000A000000}" name="Blade" dataDxfId="32"/>
  </tableColumns>
  <tableStyleInfo name="TableStyleLight1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D000000}" name="Tabelle172223" displayName="Tabelle172223" ref="AR4:BA87" totalsRowShown="0">
  <autoFilter ref="AR4:BA87" xr:uid="{00000000-0009-0000-0100-000016000000}"/>
  <tableColumns count="10">
    <tableColumn id="1" xr3:uid="{00000000-0010-0000-0D00-000001000000}" name="Model"/>
    <tableColumn id="2" xr3:uid="{00000000-0010-0000-0D00-000002000000}" name="Hersteller" dataDxfId="31"/>
    <tableColumn id="3" xr3:uid="{00000000-0010-0000-0D00-000003000000}" name="Gearbox" dataDxfId="30"/>
    <tableColumn id="4" xr3:uid="{00000000-0010-0000-0D00-000004000000}" name="Generator" dataDxfId="29"/>
    <tableColumn id="5" xr3:uid="{00000000-0010-0000-0D00-000005000000}" name="Transformer" dataDxfId="28"/>
    <tableColumn id="6" xr3:uid="{00000000-0010-0000-0D00-000006000000}" name="Blade Bearing" dataDxfId="27"/>
    <tableColumn id="7" xr3:uid="{00000000-0010-0000-0D00-000007000000}" name="Yaw Gearbox" dataDxfId="26"/>
    <tableColumn id="8" xr3:uid="{00000000-0010-0000-0D00-000008000000}" name="Main Bearing &amp; Shaft" dataDxfId="25"/>
    <tableColumn id="9" xr3:uid="{00000000-0010-0000-0D00-000009000000}" name="Rotor" dataDxfId="24"/>
    <tableColumn id="10" xr3:uid="{00000000-0010-0000-0D00-00000A000000}" name="Blade" dataDxfId="23"/>
  </tableColumns>
  <tableStyleInfo name="TableStyleLight1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E000000}" name="Tabelle256" displayName="Tabelle256" ref="BZ2:CG75" totalsRowShown="0" dataDxfId="22">
  <autoFilter ref="BZ2:CG75" xr:uid="{00000000-0009-0000-0100-00000E000000}"/>
  <tableColumns count="8">
    <tableColumn id="1" xr3:uid="{00000000-0010-0000-0E00-000001000000}" name="Model" dataDxfId="21"/>
    <tableColumn id="2" xr3:uid="{00000000-0010-0000-0E00-000002000000}" name="Hersteller" dataDxfId="20"/>
    <tableColumn id="3" xr3:uid="{00000000-0010-0000-0E00-000003000000}" name="Gearbox" dataDxfId="19"/>
    <tableColumn id="4" xr3:uid="{00000000-0010-0000-0E00-000004000000}" name="Generator" dataDxfId="18"/>
    <tableColumn id="5" xr3:uid="{00000000-0010-0000-0E00-000005000000}" name="Transformer" dataDxfId="17"/>
    <tableColumn id="6" xr3:uid="{00000000-0010-0000-0E00-000006000000}" name="Blade Bearing" dataDxfId="16"/>
    <tableColumn id="7" xr3:uid="{00000000-0010-0000-0E00-000007000000}" name="Yaw Gearbox" dataDxfId="15"/>
    <tableColumn id="8" xr3:uid="{00000000-0010-0000-0E00-000008000000}" name="Main Bearing &amp; Shaft" dataDxfId="14"/>
  </tableColumns>
  <tableStyleInfo name="TableStyleLight1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elle1221" displayName="Tabelle1221" ref="A88:B99" totalsRowShown="0">
  <autoFilter ref="A88:B99" xr:uid="{00000000-0009-0000-0100-000014000000}"/>
  <tableColumns count="2">
    <tableColumn id="1" xr3:uid="{00000000-0010-0000-0F00-000001000000}" name="Anzahl WEA"/>
    <tableColumn id="2" xr3:uid="{00000000-0010-0000-0F00-000002000000}" name="Pric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0000000}" name="Tabelle7" displayName="Tabelle7" ref="R3:T9" totalsRowShown="0" tableBorderDxfId="3">
  <autoFilter ref="R3:T9" xr:uid="{00000000-0009-0000-0100-000007000000}"/>
  <tableColumns count="3">
    <tableColumn id="1" xr3:uid="{00000000-0010-0000-1000-000001000000}" name="Contract" dataDxfId="2"/>
    <tableColumn id="2" xr3:uid="{00000000-0010-0000-1000-000002000000}" name="&lt; 5 Years" dataDxfId="1"/>
    <tableColumn id="3" xr3:uid="{00000000-0010-0000-1000-000003000000}" name="&gt;5 Years" dataDxfId="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1000000}" name="Tabelle1" displayName="Tabelle1" ref="A1:G12" totalsRowShown="0">
  <autoFilter ref="A1:G12" xr:uid="{00000000-0009-0000-0100-000001000000}"/>
  <tableColumns count="7">
    <tableColumn id="1" xr3:uid="{00000000-0010-0000-1100-000001000000}" name="Counrty"/>
    <tableColumn id="2" xr3:uid="{00000000-0010-0000-1100-000002000000}" name="Rate"/>
    <tableColumn id="3" xr3:uid="{00000000-0010-0000-1100-000003000000}" name="Yearly hours Service Technican"/>
    <tableColumn id="4" xr3:uid="{00000000-0010-0000-1100-000004000000}" name="Yearly Expenses - Service Technican"/>
    <tableColumn id="5" xr3:uid="{00000000-0010-0000-1100-000005000000}" name="Yearly Costs - Service Car"/>
    <tableColumn id="6" xr3:uid="{00000000-0010-0000-1100-000006000000}" name="Materialkosten zuschlag"/>
    <tableColumn id="7" xr3:uid="{00000000-0010-0000-1100-000007000000}" name="GK Zuschlag"/>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2000000}" name="Tabelle2" displayName="Tabelle2" ref="B3:G18" totalsRowShown="0">
  <autoFilter ref="B3:G18" xr:uid="{00000000-0009-0000-0100-000002000000}"/>
  <tableColumns count="6">
    <tableColumn id="1" xr3:uid="{00000000-0010-0000-1200-000001000000}" name="Author"/>
    <tableColumn id="2" xr3:uid="{00000000-0010-0000-1200-000002000000}" name="Email"/>
    <tableColumn id="3" xr3:uid="{00000000-0010-0000-1200-000003000000}" name="Phone"/>
    <tableColumn id="4" xr3:uid="{00000000-0010-0000-1200-000004000000}" name="Company"/>
    <tableColumn id="5" xr3:uid="{00000000-0010-0000-1200-000005000000}" name="Country"/>
    <tableColumn id="6" xr3:uid="{00000000-0010-0000-1200-000006000000}" name="Service Technican Rate"/>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1000000}" name="Tabelle23" displayName="Tabelle23" ref="L4:W87" totalsRowShown="0" headerRowDxfId="127" dataDxfId="126">
  <autoFilter ref="L4:W87" xr:uid="{00000000-0009-0000-0100-000017000000}"/>
  <tableColumns count="12">
    <tableColumn id="1" xr3:uid="{00000000-0010-0000-0100-000001000000}" name="Model" dataDxfId="125"/>
    <tableColumn id="2" xr3:uid="{00000000-0010-0000-0100-000002000000}" name="Hersteller" dataDxfId="124"/>
    <tableColumn id="12" xr3:uid="{00000000-0010-0000-0100-00000C000000}" name="Typ 1" dataDxfId="123"/>
    <tableColumn id="3" xr3:uid="{00000000-0010-0000-0100-000003000000}" name="Typ 2" dataDxfId="122"/>
    <tableColumn id="4" xr3:uid="{00000000-0010-0000-0100-000004000000}" name="Typ 3" dataDxfId="121"/>
    <tableColumn id="5" xr3:uid="{00000000-0010-0000-0100-000005000000}" name="Typ 4" dataDxfId="120"/>
    <tableColumn id="6" xr3:uid="{00000000-0010-0000-0100-000006000000}" name="2J-Wartung" dataDxfId="119"/>
    <tableColumn id="7" xr3:uid="{00000000-0010-0000-0100-000007000000}" name="3J-Wartung" dataDxfId="118"/>
    <tableColumn id="8" xr3:uid="{00000000-0010-0000-0100-000008000000}" name="4J-Wartung" dataDxfId="117"/>
    <tableColumn id="9" xr3:uid="{00000000-0010-0000-0100-000009000000}" name="6J-Wartung" dataDxfId="116"/>
    <tableColumn id="10" xr3:uid="{00000000-0010-0000-0100-00000A000000}" name="10J-Wartung" dataDxfId="115"/>
    <tableColumn id="11" xr3:uid="{00000000-0010-0000-0100-00000B000000}" name="20J-Wartung" dataDxfId="114"/>
  </tableColumns>
  <tableStyleInfo name="TableStyleLight13"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3000000}" name="Tabelle8" displayName="Tabelle8" ref="I3:S11" totalsRowShown="0">
  <autoFilter ref="I3:S11" xr:uid="{00000000-0009-0000-0100-000008000000}"/>
  <tableColumns count="11">
    <tableColumn id="1" xr3:uid="{00000000-0010-0000-1300-000001000000}" name="Tower"/>
    <tableColumn id="2" xr3:uid="{00000000-0010-0000-1300-000002000000}" name="Yes/No"/>
    <tableColumn id="3" xr3:uid="{00000000-0010-0000-1300-000003000000}" name="Contract"/>
    <tableColumn id="4" xr3:uid="{00000000-0010-0000-1300-000004000000}" name="Availability"/>
    <tableColumn id="5" xr3:uid="{00000000-0010-0000-1300-000005000000}" name="Availability Method"/>
    <tableColumn id="6" xr3:uid="{00000000-0010-0000-1300-000006000000}" name="Language"/>
    <tableColumn id="7" xr3:uid="{00000000-0010-0000-1300-000007000000}" name="Option"/>
    <tableColumn id="8" xr3:uid="{00000000-0010-0000-1300-000008000000}" name="Disposition"/>
    <tableColumn id="9" xr3:uid="{00000000-0010-0000-1300-000009000000}" name="hub height"/>
    <tableColumn id="10" xr3:uid="{00000000-0010-0000-1300-00000A000000}" name="m/f"/>
    <tableColumn id="11" xr3:uid="{00000000-0010-0000-1300-00000B000000}" name="Availability2"/>
  </tableColumns>
  <tableStyleInfo name="TableStyleLight1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4000000}" name="Tabelle9" displayName="Tabelle9" ref="B20:I47" totalsRowShown="0">
  <autoFilter ref="B20:I47" xr:uid="{00000000-0009-0000-0100-000009000000}"/>
  <tableColumns count="8">
    <tableColumn id="1" xr3:uid="{00000000-0010-0000-1400-000001000000}" name="NEGMICON"/>
    <tableColumn id="3" xr3:uid="{00000000-0010-0000-1400-000003000000}" name="Siemens"/>
    <tableColumn id="4" xr3:uid="{00000000-0010-0000-1400-000004000000}" name="Vestas"/>
    <tableColumn id="6" xr3:uid="{00000000-0010-0000-1400-000006000000}" name="Senvion"/>
    <tableColumn id="7" xr3:uid="{00000000-0010-0000-1400-000007000000}" name="Fuhrländer"/>
    <tableColumn id="8" xr3:uid="{00000000-0010-0000-1400-000008000000}" name="Nordex"/>
    <tableColumn id="2" xr3:uid="{00000000-0010-0000-1400-000002000000}" name="Enercon"/>
    <tableColumn id="5" xr3:uid="{00000000-0010-0000-1400-000005000000}" name="Gamesa"/>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2000000}" name="Tabelle18" displayName="Tabelle18" ref="Y4:AJ87" totalsRowShown="0" headerRowDxfId="113" dataDxfId="112">
  <autoFilter ref="Y4:AJ87" xr:uid="{00000000-0009-0000-0100-000012000000}"/>
  <tableColumns count="12">
    <tableColumn id="1" xr3:uid="{00000000-0010-0000-0200-000001000000}" name="Model" dataDxfId="111"/>
    <tableColumn id="2" xr3:uid="{00000000-0010-0000-0200-000002000000}" name="Hersteller" dataDxfId="110"/>
    <tableColumn id="3" xr3:uid="{00000000-0010-0000-0200-000003000000}" name="Typ 1" dataDxfId="109"/>
    <tableColumn id="4" xr3:uid="{00000000-0010-0000-0200-000004000000}" name="Typ 2" dataDxfId="108"/>
    <tableColumn id="5" xr3:uid="{00000000-0010-0000-0200-000005000000}" name="Typ 3" dataDxfId="107"/>
    <tableColumn id="6" xr3:uid="{00000000-0010-0000-0200-000006000000}" name="Typ 4" dataDxfId="106"/>
    <tableColumn id="7" xr3:uid="{00000000-0010-0000-0200-000007000000}" name="2J-Wartung" dataDxfId="105"/>
    <tableColumn id="8" xr3:uid="{00000000-0010-0000-0200-000008000000}" name="3J-Wartung" dataDxfId="104"/>
    <tableColumn id="9" xr3:uid="{00000000-0010-0000-0200-000009000000}" name="4J-Wartung" dataDxfId="103"/>
    <tableColumn id="10" xr3:uid="{00000000-0010-0000-0200-00000A000000}" name="6J-Wartung" dataDxfId="102"/>
    <tableColumn id="11" xr3:uid="{00000000-0010-0000-0200-00000B000000}" name="10J-Wartung" dataDxfId="101"/>
    <tableColumn id="12" xr3:uid="{00000000-0010-0000-0200-00000C000000}" name="20J-Wartung" dataDxfId="10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3000000}" name="Tabelle10" displayName="Tabelle10" ref="AL4:AW79" totalsRowShown="0" headerRowDxfId="99" dataDxfId="98">
  <autoFilter ref="AL4:AW79" xr:uid="{00000000-0009-0000-0100-00000A000000}"/>
  <tableColumns count="12">
    <tableColumn id="1" xr3:uid="{00000000-0010-0000-0300-000001000000}" name="Model" dataDxfId="97"/>
    <tableColumn id="2" xr3:uid="{00000000-0010-0000-0300-000002000000}" name="Hersteller" dataDxfId="96"/>
    <tableColumn id="3" xr3:uid="{00000000-0010-0000-0300-000003000000}" name="Typ 1" dataDxfId="95"/>
    <tableColumn id="4" xr3:uid="{00000000-0010-0000-0300-000004000000}" name="Typ 2" dataDxfId="94"/>
    <tableColumn id="5" xr3:uid="{00000000-0010-0000-0300-000005000000}" name="Typ 3" dataDxfId="93"/>
    <tableColumn id="6" xr3:uid="{00000000-0010-0000-0300-000006000000}" name="Typ 4" dataDxfId="92"/>
    <tableColumn id="7" xr3:uid="{00000000-0010-0000-0300-000007000000}" name="2J-Wartung" dataDxfId="91"/>
    <tableColumn id="8" xr3:uid="{00000000-0010-0000-0300-000008000000}" name="3J-Wartung" dataDxfId="90"/>
    <tableColumn id="9" xr3:uid="{00000000-0010-0000-0300-000009000000}" name="4J-Wartung" dataDxfId="89"/>
    <tableColumn id="10" xr3:uid="{00000000-0010-0000-0300-00000A000000}" name="6J-Wartung" dataDxfId="88"/>
    <tableColumn id="11" xr3:uid="{00000000-0010-0000-0300-00000B000000}" name="10J-Wartung" dataDxfId="87"/>
    <tableColumn id="12" xr3:uid="{00000000-0010-0000-0300-00000C000000}" name="20J-Wartung" dataDxfId="8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4000000}" name="Tabelle1014" displayName="Tabelle1014" ref="B3:G86" totalsRowShown="0" headerRowDxfId="85">
  <autoFilter ref="B3:G86" xr:uid="{00000000-0009-0000-0100-00000D000000}"/>
  <tableColumns count="6">
    <tableColumn id="1" xr3:uid="{00000000-0010-0000-0400-000001000000}" name="Model" dataDxfId="84"/>
    <tableColumn id="2" xr3:uid="{00000000-0010-0000-0400-000002000000}" name="Hersteller" dataDxfId="83"/>
    <tableColumn id="3" xr3:uid="{00000000-0010-0000-0400-000003000000}" name="Man hours per year" dataDxfId="82"/>
    <tableColumn id="4" xr3:uid="{00000000-0010-0000-0400-000004000000}" name="Material Costs per Year" dataDxfId="81"/>
    <tableColumn id="5" xr3:uid="{00000000-0010-0000-0400-000005000000}" name="Anzahl Anfahrten" dataDxfId="80"/>
    <tableColumn id="6" xr3:uid="{00000000-0010-0000-0400-000006000000}" name="Anzahl der Ermittelten Daten" dataDxfId="79"/>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5000000}" name="Tabelle15" displayName="Tabelle15" ref="B4:I87" totalsRowShown="0" headerRowDxfId="78">
  <autoFilter ref="B4:I87" xr:uid="{00000000-0009-0000-0100-00000F000000}"/>
  <tableColumns count="8">
    <tableColumn id="1" xr3:uid="{00000000-0010-0000-0500-000001000000}" name="Model" dataDxfId="77"/>
    <tableColumn id="2" xr3:uid="{00000000-0010-0000-0500-000002000000}" name="Hersteller" dataDxfId="76"/>
    <tableColumn id="3" xr3:uid="{00000000-0010-0000-0500-000003000000}" name="Gearbox" dataDxfId="75"/>
    <tableColumn id="4" xr3:uid="{00000000-0010-0000-0500-000004000000}" name="Generator" dataDxfId="74"/>
    <tableColumn id="5" xr3:uid="{00000000-0010-0000-0500-000005000000}" name="Transformer" dataDxfId="73"/>
    <tableColumn id="6" xr3:uid="{00000000-0010-0000-0500-000006000000}" name="Blade Bearing" dataDxfId="72"/>
    <tableColumn id="7" xr3:uid="{00000000-0010-0000-0500-000007000000}" name="Yaw Gearbox" dataDxfId="71"/>
    <tableColumn id="8" xr3:uid="{00000000-0010-0000-0500-000008000000}" name="Main Bearing &amp; Shaft" dataDxfId="70"/>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6000000}" name="Tabelle1517" displayName="Tabelle1517" ref="L4:T87" totalsRowShown="0">
  <autoFilter ref="L4:T87" xr:uid="{00000000-0009-0000-0100-000010000000}"/>
  <tableColumns count="9">
    <tableColumn id="1" xr3:uid="{00000000-0010-0000-0600-000001000000}" name="Model"/>
    <tableColumn id="2" xr3:uid="{00000000-0010-0000-0600-000002000000}" name="Hersteller" dataDxfId="69"/>
    <tableColumn id="3" xr3:uid="{00000000-0010-0000-0600-000003000000}" name="Gearbox" dataDxfId="68"/>
    <tableColumn id="4" xr3:uid="{00000000-0010-0000-0600-000004000000}" name="Generator" dataDxfId="67"/>
    <tableColumn id="5" xr3:uid="{00000000-0010-0000-0600-000005000000}" name="Transformer" dataDxfId="66"/>
    <tableColumn id="6" xr3:uid="{00000000-0010-0000-0600-000006000000}" name="Blade Bearing" dataDxfId="65"/>
    <tableColumn id="7" xr3:uid="{00000000-0010-0000-0600-000007000000}" name="Yaw Gearbox" dataDxfId="64"/>
    <tableColumn id="8" xr3:uid="{00000000-0010-0000-0600-000008000000}" name="Main Bearing &amp; Shaft" dataDxfId="63"/>
    <tableColumn id="9" xr3:uid="{00000000-0010-0000-0600-000009000000}" name="Blade Repair" dataDxfId="62"/>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7000000}" name="Tabelle17" displayName="Tabelle17" ref="V4:AE87" totalsRowShown="0">
  <autoFilter ref="V4:AE87" xr:uid="{00000000-0009-0000-0100-000011000000}"/>
  <tableColumns count="10">
    <tableColumn id="1" xr3:uid="{00000000-0010-0000-0700-000001000000}" name="Model"/>
    <tableColumn id="2" xr3:uid="{00000000-0010-0000-0700-000002000000}" name="Hersteller" dataDxfId="61"/>
    <tableColumn id="3" xr3:uid="{00000000-0010-0000-0700-000003000000}" name="Gearbox" dataDxfId="60"/>
    <tableColumn id="4" xr3:uid="{00000000-0010-0000-0700-000004000000}" name="Generator" dataDxfId="59"/>
    <tableColumn id="5" xr3:uid="{00000000-0010-0000-0700-000005000000}" name="Transformer" dataDxfId="58"/>
    <tableColumn id="6" xr3:uid="{00000000-0010-0000-0700-000006000000}" name="Blade Bearing" dataDxfId="57"/>
    <tableColumn id="7" xr3:uid="{00000000-0010-0000-0700-000007000000}" name="Yaw Gearbox" dataDxfId="56"/>
    <tableColumn id="8" xr3:uid="{00000000-0010-0000-0700-000008000000}" name="Main Bearing &amp; Shaft" dataDxfId="55"/>
    <tableColumn id="9" xr3:uid="{00000000-0010-0000-0700-000009000000}" name="Rotor" dataDxfId="54"/>
    <tableColumn id="10" xr3:uid="{00000000-0010-0000-0700-00000A000000}" name="Blade" dataDxfId="53"/>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8000000}" name="Tabelle3" displayName="Tabelle3" ref="BD5:BE31" totalsRowShown="0" dataDxfId="52">
  <autoFilter ref="BD5:BE31" xr:uid="{00000000-0009-0000-0100-000003000000}"/>
  <tableColumns count="2">
    <tableColumn id="1" xr3:uid="{00000000-0010-0000-0800-000001000000}" name="average" dataDxfId="51"/>
    <tableColumn id="2" xr3:uid="{00000000-0010-0000-0800-000002000000}" name="negative" dataDxfId="5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printerSettings" Target="../printerSettings/printerSettings10.bin"/><Relationship Id="rId4" Type="http://schemas.openxmlformats.org/officeDocument/2006/relationships/comments" Target="../comments4.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11.xml"/><Relationship Id="rId13" Type="http://schemas.openxmlformats.org/officeDocument/2006/relationships/comments" Target="../comments5.xml"/><Relationship Id="rId3" Type="http://schemas.openxmlformats.org/officeDocument/2006/relationships/table" Target="../tables/table6.xml"/><Relationship Id="rId7" Type="http://schemas.openxmlformats.org/officeDocument/2006/relationships/table" Target="../tables/table10.xml"/><Relationship Id="rId12" Type="http://schemas.openxmlformats.org/officeDocument/2006/relationships/table" Target="../tables/table15.xml"/><Relationship Id="rId2" Type="http://schemas.openxmlformats.org/officeDocument/2006/relationships/vmlDrawing" Target="../drawings/vmlDrawing5.vml"/><Relationship Id="rId1" Type="http://schemas.openxmlformats.org/officeDocument/2006/relationships/printerSettings" Target="../printerSettings/printerSettings11.bin"/><Relationship Id="rId6" Type="http://schemas.openxmlformats.org/officeDocument/2006/relationships/table" Target="../tables/table9.xml"/><Relationship Id="rId11" Type="http://schemas.openxmlformats.org/officeDocument/2006/relationships/table" Target="../tables/table14.xml"/><Relationship Id="rId5" Type="http://schemas.openxmlformats.org/officeDocument/2006/relationships/table" Target="../tables/table8.xml"/><Relationship Id="rId10" Type="http://schemas.openxmlformats.org/officeDocument/2006/relationships/table" Target="../tables/table13.xml"/><Relationship Id="rId4" Type="http://schemas.openxmlformats.org/officeDocument/2006/relationships/table" Target="../tables/table7.xml"/><Relationship Id="rId9"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1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vmlDrawing" Target="../drawings/vmlDrawing7.vml"/><Relationship Id="rId1" Type="http://schemas.openxmlformats.org/officeDocument/2006/relationships/printerSettings" Target="../printerSettings/printerSettings13.bin"/><Relationship Id="rId4" Type="http://schemas.openxmlformats.org/officeDocument/2006/relationships/comments" Target="../comments7.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printerSettings" Target="../printerSettings/printerSettings14.bin"/><Relationship Id="rId1" Type="http://schemas.openxmlformats.org/officeDocument/2006/relationships/hyperlink" Target="mailto:a.deltiempo-pina@deutsche-windtechnik.com" TargetMode="External"/><Relationship Id="rId5" Type="http://schemas.openxmlformats.org/officeDocument/2006/relationships/table" Target="../tables/table21.xml"/><Relationship Id="rId4"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dimension ref="A1:EH240"/>
  <sheetViews>
    <sheetView tabSelected="1" topLeftCell="A7" zoomScale="80" zoomScaleNormal="80" workbookViewId="0">
      <selection activeCell="D38" sqref="D38:E38"/>
    </sheetView>
  </sheetViews>
  <sheetFormatPr baseColWidth="10" defaultRowHeight="15" outlineLevelCol="1"/>
  <cols>
    <col min="2" max="2" width="23.7109375" customWidth="1"/>
    <col min="3" max="3" width="25.28515625" customWidth="1"/>
    <col min="4" max="5" width="20.7109375" customWidth="1" outlineLevel="1"/>
    <col min="6" max="6" width="67.5703125" customWidth="1" outlineLevel="1"/>
    <col min="7" max="7" width="20.85546875" customWidth="1"/>
    <col min="8" max="8" width="25.28515625" customWidth="1"/>
  </cols>
  <sheetData>
    <row r="1" spans="1:119" ht="26.25">
      <c r="A1" s="634" t="s">
        <v>567</v>
      </c>
      <c r="B1" s="634"/>
      <c r="C1" s="634"/>
      <c r="D1" s="634"/>
      <c r="E1" s="634"/>
      <c r="F1" s="634"/>
      <c r="G1" s="634"/>
      <c r="H1" s="634"/>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row>
    <row r="2" spans="1:119" ht="19.5" thickBot="1">
      <c r="A2" s="1"/>
      <c r="B2" s="614" t="s">
        <v>0</v>
      </c>
      <c r="C2" s="614"/>
      <c r="D2" s="614"/>
      <c r="E2" s="614"/>
      <c r="F2" s="614"/>
      <c r="G2" s="614"/>
      <c r="H2" s="614"/>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row>
    <row r="3" spans="1:119">
      <c r="A3" s="1"/>
      <c r="B3" s="621" t="s">
        <v>22</v>
      </c>
      <c r="C3" s="621"/>
      <c r="D3" s="616" t="s">
        <v>779</v>
      </c>
      <c r="E3" s="616"/>
      <c r="F3" s="398" t="s">
        <v>723</v>
      </c>
      <c r="G3" s="537" t="s">
        <v>788</v>
      </c>
      <c r="H3" s="535" t="s">
        <v>786</v>
      </c>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row>
    <row r="4" spans="1:119">
      <c r="A4" s="1"/>
      <c r="B4" s="620" t="s">
        <v>587</v>
      </c>
      <c r="C4" s="620"/>
      <c r="D4" s="608" t="s">
        <v>789</v>
      </c>
      <c r="E4" s="608"/>
      <c r="F4" s="2" t="s">
        <v>2</v>
      </c>
      <c r="G4" s="622" t="s">
        <v>3</v>
      </c>
      <c r="H4" s="622"/>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row>
    <row r="5" spans="1:119">
      <c r="A5" s="1"/>
      <c r="B5" s="620" t="s">
        <v>6</v>
      </c>
      <c r="C5" s="620"/>
      <c r="D5" s="608" t="s">
        <v>790</v>
      </c>
      <c r="E5" s="608"/>
      <c r="F5" s="219" t="s">
        <v>586</v>
      </c>
      <c r="G5" s="622"/>
      <c r="H5" s="622"/>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row>
    <row r="6" spans="1:119">
      <c r="A6" s="1"/>
      <c r="B6" s="269" t="s">
        <v>10</v>
      </c>
      <c r="C6" s="270"/>
      <c r="D6" s="608" t="s">
        <v>11</v>
      </c>
      <c r="E6" s="608"/>
      <c r="F6" s="2" t="s">
        <v>7</v>
      </c>
      <c r="G6" s="613"/>
      <c r="H6" s="613"/>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row>
    <row r="7" spans="1:119">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row>
    <row r="8" spans="1:119" ht="19.5" thickBot="1">
      <c r="A8" s="1"/>
      <c r="B8" s="614" t="s">
        <v>8</v>
      </c>
      <c r="C8" s="614"/>
      <c r="D8" s="614"/>
      <c r="E8" s="614"/>
      <c r="F8" s="614"/>
      <c r="G8" s="614"/>
      <c r="H8" s="614"/>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row>
    <row r="9" spans="1:119">
      <c r="A9" s="1"/>
      <c r="B9" s="621" t="s">
        <v>1</v>
      </c>
      <c r="C9" s="621"/>
      <c r="D9" s="616" t="s">
        <v>780</v>
      </c>
      <c r="E9" s="616"/>
      <c r="F9" s="219" t="s">
        <v>582</v>
      </c>
      <c r="G9" s="623">
        <v>60</v>
      </c>
      <c r="H9" s="623"/>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row>
    <row r="10" spans="1:119">
      <c r="A10" s="1"/>
      <c r="B10" s="620" t="s">
        <v>10</v>
      </c>
      <c r="C10" s="620"/>
      <c r="D10" s="624" t="s">
        <v>11</v>
      </c>
      <c r="E10" s="624"/>
      <c r="F10" s="219" t="s">
        <v>583</v>
      </c>
      <c r="G10" s="625">
        <f>VLOOKUP(D13,HelpInput!B51:C129,2,FALSE)</f>
        <v>2000</v>
      </c>
      <c r="H10" s="625"/>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row>
    <row r="11" spans="1:119">
      <c r="A11" s="1"/>
      <c r="B11" s="620" t="s">
        <v>13</v>
      </c>
      <c r="C11" s="620"/>
      <c r="D11" s="624">
        <v>24</v>
      </c>
      <c r="E11" s="624"/>
      <c r="F11" s="219" t="s">
        <v>584</v>
      </c>
      <c r="G11" s="618">
        <v>41373</v>
      </c>
      <c r="H11" s="618"/>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row>
    <row r="12" spans="1:119">
      <c r="A12" s="1"/>
      <c r="B12" s="620" t="s">
        <v>580</v>
      </c>
      <c r="C12" s="620"/>
      <c r="D12" s="612" t="s">
        <v>106</v>
      </c>
      <c r="E12" s="612"/>
      <c r="F12" s="219" t="s">
        <v>585</v>
      </c>
      <c r="G12" s="626">
        <v>100</v>
      </c>
      <c r="H12" s="626"/>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row>
    <row r="13" spans="1:119">
      <c r="A13" s="1"/>
      <c r="B13" s="620" t="s">
        <v>581</v>
      </c>
      <c r="C13" s="620"/>
      <c r="D13" s="612" t="s">
        <v>746</v>
      </c>
      <c r="E13" s="612"/>
      <c r="F13" s="219" t="s">
        <v>739</v>
      </c>
      <c r="G13" s="627">
        <v>5000</v>
      </c>
      <c r="H13" s="628"/>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row>
    <row r="14" spans="1:119">
      <c r="A14" s="1"/>
      <c r="B14" s="269" t="s">
        <v>620</v>
      </c>
      <c r="C14" s="271"/>
      <c r="D14" s="612"/>
      <c r="E14" s="612"/>
      <c r="F14" s="219" t="s">
        <v>766</v>
      </c>
      <c r="G14" s="534" t="s">
        <v>764</v>
      </c>
      <c r="H14" s="534" t="s">
        <v>792</v>
      </c>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row>
    <row r="15" spans="1:119">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row>
    <row r="16" spans="1:119" ht="19.5" thickBot="1">
      <c r="A16" s="1"/>
      <c r="B16" s="614" t="s">
        <v>16</v>
      </c>
      <c r="C16" s="614"/>
      <c r="D16" s="614"/>
      <c r="E16" s="614"/>
      <c r="F16" s="614"/>
      <c r="G16" s="614"/>
      <c r="H16" s="614"/>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row>
    <row r="17" spans="1:119">
      <c r="A17" s="1"/>
      <c r="B17" s="615" t="s">
        <v>589</v>
      </c>
      <c r="C17" s="615"/>
      <c r="D17" s="616" t="s">
        <v>85</v>
      </c>
      <c r="E17" s="616"/>
      <c r="F17" s="434" t="s">
        <v>624</v>
      </c>
      <c r="G17" s="617" t="s">
        <v>632</v>
      </c>
      <c r="H17" s="617"/>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row>
    <row r="18" spans="1:119">
      <c r="A18" s="1"/>
      <c r="B18" s="607" t="s">
        <v>588</v>
      </c>
      <c r="C18" s="607"/>
      <c r="D18" s="618">
        <v>43466</v>
      </c>
      <c r="E18" s="618"/>
      <c r="F18" s="432" t="s">
        <v>626</v>
      </c>
      <c r="G18" s="612" t="s">
        <v>632</v>
      </c>
      <c r="H18" s="612"/>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row>
    <row r="19" spans="1:119">
      <c r="A19" s="1"/>
      <c r="B19" s="607" t="s">
        <v>19</v>
      </c>
      <c r="C19" s="607"/>
      <c r="D19" s="619">
        <v>5</v>
      </c>
      <c r="E19" s="619"/>
      <c r="F19" s="432" t="s">
        <v>627</v>
      </c>
      <c r="G19" s="612" t="s">
        <v>632</v>
      </c>
      <c r="H19" s="612"/>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row>
    <row r="20" spans="1:119">
      <c r="A20" s="1"/>
      <c r="B20" s="434" t="s">
        <v>721</v>
      </c>
      <c r="C20" s="434"/>
      <c r="D20" s="631" t="s">
        <v>633</v>
      </c>
      <c r="E20" s="631"/>
      <c r="F20" s="432" t="s">
        <v>628</v>
      </c>
      <c r="G20" s="612" t="s">
        <v>632</v>
      </c>
      <c r="H20" s="612"/>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row>
    <row r="21" spans="1:119">
      <c r="A21" s="1"/>
      <c r="B21" s="525" t="s">
        <v>630</v>
      </c>
      <c r="C21" s="525"/>
      <c r="D21" s="612" t="s">
        <v>632</v>
      </c>
      <c r="E21" s="612"/>
      <c r="F21" s="432" t="s">
        <v>629</v>
      </c>
      <c r="G21" s="612" t="s">
        <v>632</v>
      </c>
      <c r="H21" s="612"/>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row>
    <row r="22" spans="1:119">
      <c r="A22" s="1"/>
      <c r="B22" s="526" t="s">
        <v>744</v>
      </c>
      <c r="C22" s="525"/>
      <c r="D22" s="612" t="s">
        <v>632</v>
      </c>
      <c r="E22" s="612"/>
      <c r="F22" s="398" t="s">
        <v>776</v>
      </c>
      <c r="G22" s="612" t="s">
        <v>632</v>
      </c>
      <c r="H22" s="612"/>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row>
    <row r="23" spans="1:119">
      <c r="A23" s="1"/>
      <c r="B23" s="525" t="s">
        <v>809</v>
      </c>
      <c r="C23" s="525"/>
      <c r="D23" s="612" t="s">
        <v>632</v>
      </c>
      <c r="E23" s="612"/>
      <c r="F23" s="525" t="s">
        <v>802</v>
      </c>
      <c r="G23" s="629">
        <v>500</v>
      </c>
      <c r="H23" s="629"/>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row>
    <row r="24" spans="1:119">
      <c r="A24" s="1"/>
      <c r="B24" s="525" t="s">
        <v>625</v>
      </c>
      <c r="C24" s="525"/>
      <c r="D24" s="612" t="s">
        <v>632</v>
      </c>
      <c r="E24" s="612"/>
      <c r="F24" s="319" t="s">
        <v>805</v>
      </c>
      <c r="G24" s="629">
        <v>200</v>
      </c>
      <c r="H24" s="629"/>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row>
    <row r="25" spans="1:119">
      <c r="A25" s="1"/>
      <c r="B25" s="525" t="s">
        <v>622</v>
      </c>
      <c r="C25" s="525"/>
      <c r="D25" s="612" t="s">
        <v>632</v>
      </c>
      <c r="E25" s="612"/>
      <c r="F25" s="398" t="s">
        <v>804</v>
      </c>
      <c r="G25" s="629">
        <v>100</v>
      </c>
      <c r="H25" s="629"/>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row>
    <row r="26" spans="1:119" s="336" customFormat="1">
      <c r="A26" s="1"/>
      <c r="B26" s="525" t="s">
        <v>621</v>
      </c>
      <c r="C26" s="525"/>
      <c r="D26" s="612" t="s">
        <v>632</v>
      </c>
      <c r="E26" s="612"/>
      <c r="F26" s="432" t="s">
        <v>713</v>
      </c>
      <c r="G26" s="629">
        <v>0</v>
      </c>
      <c r="H26" s="629"/>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row>
    <row r="27" spans="1:119">
      <c r="A27" s="1"/>
      <c r="B27" s="432" t="s">
        <v>623</v>
      </c>
      <c r="C27" s="525"/>
      <c r="D27" s="629" t="s">
        <v>632</v>
      </c>
      <c r="E27" s="629"/>
      <c r="F27" s="432" t="s">
        <v>768</v>
      </c>
      <c r="G27" s="629">
        <v>0</v>
      </c>
      <c r="H27" s="629"/>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row>
    <row r="28" spans="1:119" ht="19.5" thickBot="1">
      <c r="A28" s="1"/>
      <c r="B28" s="614" t="s">
        <v>20</v>
      </c>
      <c r="C28" s="614"/>
      <c r="D28" s="614"/>
      <c r="E28" s="614"/>
      <c r="F28" s="614"/>
      <c r="G28" s="614"/>
      <c r="H28" s="614"/>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row>
    <row r="29" spans="1:119">
      <c r="A29" s="1"/>
      <c r="B29" s="615" t="s">
        <v>590</v>
      </c>
      <c r="C29" s="615"/>
      <c r="D29" s="635" t="s">
        <v>801</v>
      </c>
      <c r="E29" s="635"/>
      <c r="F29" s="2" t="s">
        <v>7</v>
      </c>
      <c r="G29" s="636" t="str">
        <f>VLOOKUP(D31,HelpInput!B4:E18,2,FALSE)</f>
        <v>a.deltiempo-pina@deutsche-windtechnik.com</v>
      </c>
      <c r="H29" s="636"/>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row>
    <row r="30" spans="1:119">
      <c r="A30" s="1"/>
      <c r="B30" s="607" t="s">
        <v>591</v>
      </c>
      <c r="C30" s="607"/>
      <c r="D30" s="618">
        <f ca="1">TODAY()</f>
        <v>43434</v>
      </c>
      <c r="E30" s="618"/>
      <c r="F30" s="2" t="s">
        <v>5</v>
      </c>
      <c r="G30" s="608" t="str">
        <f>VLOOKUP(D31,HelpInput!B4:E18,3,FALSE)</f>
        <v xml:space="preserve">+34 976 216 038 </v>
      </c>
      <c r="H30" s="608"/>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row>
    <row r="31" spans="1:119">
      <c r="A31" s="1"/>
      <c r="B31" s="607" t="s">
        <v>21</v>
      </c>
      <c r="C31" s="607"/>
      <c r="D31" s="608" t="s">
        <v>806</v>
      </c>
      <c r="E31" s="608"/>
      <c r="F31" s="2" t="s">
        <v>22</v>
      </c>
      <c r="G31" s="608" t="str">
        <f>VLOOKUP(D31,HelpInput!B4:E18,4,FALSE)</f>
        <v>Service</v>
      </c>
      <c r="H31" s="608"/>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row>
    <row r="32" spans="1:119">
      <c r="A32" s="1"/>
      <c r="B32" s="632"/>
      <c r="C32" s="632"/>
      <c r="D32" s="609"/>
      <c r="E32" s="609"/>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row>
    <row r="33" spans="1:119" ht="19.5" thickBot="1">
      <c r="A33" s="1"/>
      <c r="B33" s="614" t="s">
        <v>24</v>
      </c>
      <c r="C33" s="614"/>
      <c r="D33" s="614"/>
      <c r="E33" s="614"/>
      <c r="F33" s="614"/>
      <c r="G33" s="614"/>
      <c r="H33" s="614"/>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row>
    <row r="34" spans="1:119">
      <c r="A34" s="1"/>
      <c r="B34" s="224" t="s">
        <v>25</v>
      </c>
      <c r="C34" s="630"/>
      <c r="D34" s="630"/>
      <c r="E34" s="630"/>
      <c r="F34" s="630"/>
      <c r="G34" s="2"/>
      <c r="H34" s="2"/>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row>
    <row r="35" spans="1:119">
      <c r="A35" s="1"/>
      <c r="B35" s="225" t="s">
        <v>26</v>
      </c>
      <c r="C35" s="610"/>
      <c r="D35" s="610"/>
      <c r="E35" s="610"/>
      <c r="F35" s="610"/>
      <c r="G35" s="605"/>
      <c r="H35" s="605"/>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row>
    <row r="36" spans="1:119">
      <c r="A36" s="1"/>
      <c r="B36" s="225" t="s">
        <v>27</v>
      </c>
      <c r="C36" s="610"/>
      <c r="D36" s="610"/>
      <c r="E36" s="610"/>
      <c r="F36" s="610"/>
      <c r="G36" s="605"/>
      <c r="H36" s="605"/>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row>
    <row r="37" spans="1:119">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row>
    <row r="38" spans="1:119">
      <c r="A38" s="1"/>
      <c r="B38" s="607" t="s">
        <v>794</v>
      </c>
      <c r="C38" s="607"/>
      <c r="D38" s="608"/>
      <c r="E38" s="608"/>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row>
    <row r="39" spans="1:119">
      <c r="A39" s="1"/>
      <c r="B39" s="435"/>
      <c r="C39" s="435"/>
      <c r="D39" s="436"/>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row>
    <row r="40" spans="1:119">
      <c r="A40" s="1"/>
      <c r="B40" s="435"/>
      <c r="C40" s="435"/>
      <c r="D40" s="633"/>
      <c r="E40" s="633"/>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row>
    <row r="41" spans="1:119">
      <c r="A41" s="1"/>
      <c r="B41" s="611"/>
      <c r="C41" s="611"/>
      <c r="D41" s="604"/>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row>
    <row r="42" spans="1:119">
      <c r="A42" s="1"/>
      <c r="B42" s="435"/>
      <c r="C42" s="435"/>
      <c r="D42" s="436"/>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row>
    <row r="43" spans="1:119">
      <c r="A43" s="1"/>
      <c r="B43" s="435"/>
      <c r="C43" s="435"/>
      <c r="D43" s="436"/>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row>
    <row r="44" spans="1:119">
      <c r="A44" s="1"/>
      <c r="B44" s="436"/>
      <c r="C44" s="437"/>
      <c r="D44" s="436"/>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row>
    <row r="45" spans="1:119">
      <c r="A45" s="1"/>
      <c r="B45" s="1"/>
      <c r="C45" s="1"/>
      <c r="D45" s="438"/>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row>
    <row r="46" spans="1:119">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row>
    <row r="47" spans="1:119">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row>
    <row r="48" spans="1:119">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row>
    <row r="49" spans="1:11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row>
    <row r="50" spans="1:119">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row>
    <row r="51" spans="1:119">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row>
    <row r="52" spans="1:119">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row>
    <row r="53" spans="1:119">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row>
    <row r="54" spans="1:119">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row>
    <row r="55" spans="1:119">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row>
    <row r="56" spans="1:119">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row>
    <row r="57" spans="1:119">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row>
    <row r="58" spans="1:119">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row>
    <row r="59" spans="1:11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row>
    <row r="60" spans="1:119">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row>
    <row r="61" spans="1:119">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row>
    <row r="62" spans="1:119">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row>
    <row r="63" spans="1:119">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row>
    <row r="64" spans="1:119">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row>
    <row r="65" spans="1:119">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row>
    <row r="66" spans="1:119">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row>
    <row r="67" spans="1:119">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row>
    <row r="68" spans="1:119">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row>
    <row r="69" spans="1:11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row>
    <row r="70" spans="1:119">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row>
    <row r="71" spans="1:119">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row>
    <row r="72" spans="1:119">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row>
    <row r="73" spans="1:119">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row>
    <row r="74" spans="1:119">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row>
    <row r="75" spans="1:119">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row>
    <row r="76" spans="1:119">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row>
    <row r="77" spans="1:119">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row>
    <row r="78" spans="1:119">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row>
    <row r="79" spans="1:11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row>
    <row r="80" spans="1:119">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row>
    <row r="81" spans="1:119">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row>
    <row r="82" spans="1:119">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row>
    <row r="83" spans="1:119">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row>
    <row r="84" spans="1:119">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row>
    <row r="85" spans="1:119">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row>
    <row r="86" spans="1:119">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row>
    <row r="87" spans="1:119">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row>
    <row r="88" spans="1:119">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row>
    <row r="89" spans="1:11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row>
    <row r="90" spans="1:119">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row>
    <row r="91" spans="1:119">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row>
    <row r="92" spans="1:119">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row>
    <row r="93" spans="1:119">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row>
    <row r="94" spans="1:119">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row>
    <row r="95" spans="1:119">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row>
    <row r="96" spans="1:119">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row>
    <row r="97" spans="1:119">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row>
    <row r="98" spans="1:119">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row>
    <row r="99" spans="1:11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row>
    <row r="100" spans="1:119">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row>
    <row r="101" spans="1:119">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row>
    <row r="102" spans="1:119">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row>
    <row r="103" spans="1:119">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row>
    <row r="104" spans="1:119">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row>
    <row r="105" spans="1:119">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row>
    <row r="106" spans="1:119">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row>
    <row r="107" spans="1:119">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row>
    <row r="108" spans="1:119">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row>
    <row r="109" spans="1:11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row>
    <row r="110" spans="1:119">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row>
    <row r="111" spans="1:119">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row>
    <row r="112" spans="1:119">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row>
    <row r="113" spans="1:119">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row>
    <row r="114" spans="1:119">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row>
    <row r="115" spans="1:119">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row>
    <row r="116" spans="1:119">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row>
    <row r="117" spans="1:119">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row>
    <row r="118" spans="1:119">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row>
    <row r="119" spans="1: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row>
    <row r="120" spans="1:119">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row>
    <row r="121" spans="1:119">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row>
    <row r="122" spans="1:119">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row>
    <row r="123" spans="1:119">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row>
    <row r="124" spans="1:119">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row>
    <row r="125" spans="1:119">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row>
    <row r="126" spans="1:119">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row>
    <row r="127" spans="1:119">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row>
    <row r="128" spans="1:119">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row>
    <row r="129" spans="1:11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row>
    <row r="130" spans="1:119">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row>
    <row r="131" spans="1:119">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row>
    <row r="132" spans="1:119">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row>
    <row r="133" spans="1:119">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row>
    <row r="134" spans="1:119">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row>
    <row r="135" spans="1:119">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row>
    <row r="136" spans="1:119">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row>
    <row r="137" spans="1:119">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row>
    <row r="138" spans="1:119">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row>
    <row r="139" spans="1:11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row>
    <row r="140" spans="1:119">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row>
    <row r="141" spans="1:119">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row>
    <row r="142" spans="1:119">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row>
    <row r="143" spans="1:119">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row>
    <row r="144" spans="1:119">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row>
    <row r="145" spans="1:138">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row>
    <row r="146" spans="1:138">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row>
    <row r="147" spans="1:138">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row>
    <row r="148" spans="1:13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row>
    <row r="149" spans="1:138">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row>
    <row r="150" spans="1:138">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row>
    <row r="151" spans="1:13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row>
    <row r="152" spans="1:138">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row>
    <row r="153" spans="1:138">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row>
    <row r="154" spans="1:138">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row>
    <row r="155" spans="1:138">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row>
    <row r="156" spans="1:138">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row>
    <row r="157" spans="1:138">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row>
    <row r="158" spans="1:13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row>
    <row r="159" spans="1:138">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row>
    <row r="160" spans="1:138">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row>
    <row r="161" spans="1:138">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row>
    <row r="162" spans="1:138">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row>
    <row r="163" spans="1:138">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row>
    <row r="164" spans="1:138">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row>
    <row r="165" spans="1:138">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row>
    <row r="166" spans="1:138">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row>
    <row r="167" spans="1:138">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row>
    <row r="168" spans="1:13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row>
    <row r="169" spans="1:138">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row>
    <row r="170" spans="1:138">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row>
    <row r="171" spans="1:138">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row>
    <row r="172" spans="1:138">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row>
    <row r="173" spans="1:138">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row>
    <row r="174" spans="1:138">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row>
    <row r="175" spans="1:138">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row>
    <row r="176" spans="1:138">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row>
    <row r="177" spans="1:138">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row>
    <row r="178" spans="1:13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row>
    <row r="179" spans="1:138">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row>
    <row r="180" spans="1:138">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row>
    <row r="181" spans="1:138">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row>
    <row r="182" spans="1:138">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row>
    <row r="183" spans="1:138">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row>
    <row r="184" spans="1:138">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row>
    <row r="185" spans="1:138">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row>
    <row r="186" spans="1:138">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row>
    <row r="187" spans="1:138">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row>
    <row r="188" spans="1:13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row>
    <row r="189" spans="1:138">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row>
    <row r="190" spans="1:138">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row>
    <row r="191" spans="1:138">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row>
    <row r="192" spans="1:138">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row>
    <row r="193" spans="1:138">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row>
    <row r="194" spans="1:138">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row>
    <row r="195" spans="1:138">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row>
    <row r="196" spans="1:138">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row>
    <row r="197" spans="1:138">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row>
    <row r="198" spans="1:13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row>
    <row r="199" spans="1:138">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row>
    <row r="200" spans="1:138">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row>
    <row r="201" spans="1:138">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row>
    <row r="202" spans="1:138">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row>
    <row r="203" spans="1:138">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row>
    <row r="204" spans="1:138">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row>
    <row r="205" spans="1:138">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row>
    <row r="206" spans="1:138">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row>
    <row r="207" spans="1:138">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row>
    <row r="208" spans="1:13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row>
    <row r="209" spans="1:138">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row>
    <row r="210" spans="1:138">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row>
    <row r="211" spans="1:138">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row>
    <row r="212" spans="1:138">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row>
    <row r="213" spans="1:138">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row>
    <row r="214" spans="1:138">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row>
    <row r="215" spans="1:138">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row>
    <row r="216" spans="1:138">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row>
    <row r="217" spans="1:138">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row>
    <row r="218" spans="1:13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row>
    <row r="219" spans="1:138">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row>
    <row r="220" spans="1:138">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row>
    <row r="221" spans="1:138">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row>
    <row r="222" spans="1:138">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row>
    <row r="223" spans="1:138">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row>
    <row r="224" spans="1:138">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row>
    <row r="225" spans="1:138">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row>
    <row r="226" spans="1:138">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row>
    <row r="227" spans="1:138">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row>
    <row r="228" spans="1:13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row>
    <row r="229" spans="1:138">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row>
    <row r="230" spans="1:138">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row>
    <row r="231" spans="1:138">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row>
    <row r="232" spans="1:138">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row>
    <row r="233" spans="1:138">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row>
    <row r="234" spans="1:138">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row>
    <row r="235" spans="1:138">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row>
    <row r="236" spans="1:138">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row>
    <row r="237" spans="1:138">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row>
    <row r="238" spans="1:138">
      <c r="B238" s="1"/>
      <c r="C238" s="1"/>
      <c r="D238" s="1"/>
      <c r="E238" s="1"/>
      <c r="F238" s="1"/>
      <c r="G238" s="1"/>
      <c r="H238" s="1"/>
    </row>
    <row r="239" spans="1:138">
      <c r="B239" s="1"/>
      <c r="C239" s="1"/>
      <c r="D239" s="1"/>
      <c r="E239" s="1"/>
      <c r="F239" s="1"/>
      <c r="G239" s="1"/>
      <c r="H239" s="1"/>
    </row>
    <row r="240" spans="1:138">
      <c r="B240" s="1"/>
      <c r="C240" s="1"/>
      <c r="D240" s="1"/>
      <c r="E240" s="1"/>
      <c r="F240" s="1"/>
      <c r="G240" s="1"/>
      <c r="H240" s="1"/>
    </row>
  </sheetData>
  <sheetProtection algorithmName="SHA-512" hashValue="Djluqls62plmJAkPG61xYojgYJo8/QBkmeuduTOSdmJIqeWN0NC9BiqBsLtNl6qRVhZBlHdEdDnIDCxlkcxohQ==" saltValue="Mr8drv8Dlz0RCGcNEjKoVw==" spinCount="100000" sheet="1" objects="1" scenarios="1"/>
  <mergeCells count="75">
    <mergeCell ref="D40:E40"/>
    <mergeCell ref="A1:H1"/>
    <mergeCell ref="B31:C31"/>
    <mergeCell ref="D31:E31"/>
    <mergeCell ref="G31:H31"/>
    <mergeCell ref="B33:H33"/>
    <mergeCell ref="B28:H28"/>
    <mergeCell ref="B29:C29"/>
    <mergeCell ref="D29:E29"/>
    <mergeCell ref="G29:H29"/>
    <mergeCell ref="B30:C30"/>
    <mergeCell ref="D22:E22"/>
    <mergeCell ref="G22:H22"/>
    <mergeCell ref="D30:E30"/>
    <mergeCell ref="G30:H30"/>
    <mergeCell ref="D24:E24"/>
    <mergeCell ref="G24:H24"/>
    <mergeCell ref="D21:E21"/>
    <mergeCell ref="G20:H20"/>
    <mergeCell ref="G21:H21"/>
    <mergeCell ref="C34:F34"/>
    <mergeCell ref="D23:E23"/>
    <mergeCell ref="G23:H23"/>
    <mergeCell ref="G25:H25"/>
    <mergeCell ref="D26:E26"/>
    <mergeCell ref="D20:E20"/>
    <mergeCell ref="G26:H26"/>
    <mergeCell ref="D27:E27"/>
    <mergeCell ref="G27:H27"/>
    <mergeCell ref="B32:C32"/>
    <mergeCell ref="B12:C12"/>
    <mergeCell ref="D12:E12"/>
    <mergeCell ref="G12:H12"/>
    <mergeCell ref="B13:C13"/>
    <mergeCell ref="D13:E13"/>
    <mergeCell ref="G13:H13"/>
    <mergeCell ref="D10:E10"/>
    <mergeCell ref="G10:H10"/>
    <mergeCell ref="B11:C11"/>
    <mergeCell ref="D11:E11"/>
    <mergeCell ref="G11:H11"/>
    <mergeCell ref="B5:C5"/>
    <mergeCell ref="D5:E5"/>
    <mergeCell ref="G5:H5"/>
    <mergeCell ref="B8:H8"/>
    <mergeCell ref="B9:C9"/>
    <mergeCell ref="D9:E9"/>
    <mergeCell ref="G9:H9"/>
    <mergeCell ref="B2:H2"/>
    <mergeCell ref="B3:C3"/>
    <mergeCell ref="D3:E3"/>
    <mergeCell ref="G4:H4"/>
    <mergeCell ref="B4:C4"/>
    <mergeCell ref="D4:E4"/>
    <mergeCell ref="B41:C41"/>
    <mergeCell ref="D14:E14"/>
    <mergeCell ref="G6:H6"/>
    <mergeCell ref="D6:E6"/>
    <mergeCell ref="D25:E25"/>
    <mergeCell ref="B16:H16"/>
    <mergeCell ref="B17:C17"/>
    <mergeCell ref="D17:E17"/>
    <mergeCell ref="G17:H17"/>
    <mergeCell ref="B18:C18"/>
    <mergeCell ref="D18:E18"/>
    <mergeCell ref="G18:H18"/>
    <mergeCell ref="B19:C19"/>
    <mergeCell ref="D19:E19"/>
    <mergeCell ref="G19:H19"/>
    <mergeCell ref="B10:C10"/>
    <mergeCell ref="B38:C38"/>
    <mergeCell ref="D38:E38"/>
    <mergeCell ref="D32:E32"/>
    <mergeCell ref="C35:F35"/>
    <mergeCell ref="C36:F36"/>
  </mergeCells>
  <conditionalFormatting sqref="B20:C20">
    <cfRule type="expression" dxfId="259" priority="16">
      <formula>OR($D$17="Basic",$D$17="Basic +",$D$17="VWoGK",$D$17="VWmGK",$D$17="VWmGKR",$D$17="VVW")</formula>
    </cfRule>
  </conditionalFormatting>
  <conditionalFormatting sqref="B21:C25">
    <cfRule type="expression" dxfId="258" priority="15">
      <formula>OR($D$17="VWmGKR",$D$17="VVW")</formula>
    </cfRule>
  </conditionalFormatting>
  <conditionalFormatting sqref="B20:C24">
    <cfRule type="expression" dxfId="257" priority="14">
      <formula>$D$17="VWmGK"</formula>
    </cfRule>
  </conditionalFormatting>
  <conditionalFormatting sqref="B20:C26">
    <cfRule type="expression" dxfId="256" priority="13">
      <formula>$D$17="VVW"</formula>
    </cfRule>
  </conditionalFormatting>
  <conditionalFormatting sqref="C34:F34">
    <cfRule type="expression" dxfId="255" priority="12">
      <formula>$G$26&gt;0</formula>
    </cfRule>
  </conditionalFormatting>
  <conditionalFormatting sqref="C35:F35">
    <cfRule type="expression" dxfId="254" priority="11">
      <formula>$G$27&gt;0</formula>
    </cfRule>
  </conditionalFormatting>
  <conditionalFormatting sqref="D21">
    <cfRule type="expression" dxfId="253" priority="9">
      <formula>$D$12="Enercon"</formula>
    </cfRule>
  </conditionalFormatting>
  <conditionalFormatting sqref="G9:H9">
    <cfRule type="expression" dxfId="252" priority="4">
      <formula>$G$9&lt;65</formula>
    </cfRule>
    <cfRule type="expression" dxfId="251" priority="7">
      <formula>$G$9&gt;125</formula>
    </cfRule>
  </conditionalFormatting>
  <conditionalFormatting sqref="C27">
    <cfRule type="expression" dxfId="250" priority="3">
      <formula>$D$17="VVW"</formula>
    </cfRule>
  </conditionalFormatting>
  <conditionalFormatting sqref="B40:C40">
    <cfRule type="expression" dxfId="249" priority="2">
      <formula>$D$17="VVW"</formula>
    </cfRule>
  </conditionalFormatting>
  <conditionalFormatting sqref="F23">
    <cfRule type="expression" dxfId="248" priority="1">
      <formula>$D$17="VVW"</formula>
    </cfRule>
  </conditionalFormatting>
  <dataValidations count="1">
    <dataValidation type="list" allowBlank="1" showInputMessage="1" showErrorMessage="1" sqref="D13:E13" xr:uid="{00000000-0002-0000-0000-000000000000}">
      <formula1>INDIRECT($D$12)</formula1>
    </dataValidation>
  </dataValidations>
  <pageMargins left="0.7" right="0.7" top="0.78740157499999996" bottom="0.78740157499999996" header="0.3" footer="0.3"/>
  <pageSetup paperSize="9"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5" id="{54178482-C4F0-4C62-80DC-55F40A906C2F}">
            <xm:f>OR('Cost Calculation'!$AM$5&gt;50,'Cost Calculation'!$AM$6&gt;50,'Cost Calculation'!$AM$7&gt;50,'Cost Calculation'!$AM$8&gt;50,'Cost Calculation'!$AM$9&gt;50,'Cost Calculation'!$AM$10&gt;50)</xm:f>
            <x14:dxf>
              <fill>
                <patternFill patternType="solid">
                  <bgColor rgb="FFFF0000"/>
                </patternFill>
              </fill>
            </x14:dxf>
          </x14:cfRule>
          <xm:sqref>G9:H9</xm:sqref>
        </x14:conditionalFormatting>
      </x14:conditionalFormattings>
    </ex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1000000}">
          <x14:formula1>
            <xm:f>HelpInput!$N$4:$N$5</xm:f>
          </x14:formula1>
          <xm:sqref>G4:H4</xm:sqref>
        </x14:dataValidation>
        <x14:dataValidation type="list" allowBlank="1" showInputMessage="1" showErrorMessage="1" xr:uid="{00000000-0002-0000-0000-000002000000}">
          <x14:formula1>
            <xm:f>HelpInput!$B$4:$B$18</xm:f>
          </x14:formula1>
          <xm:sqref>D38:E38 D31:E31</xm:sqref>
        </x14:dataValidation>
        <x14:dataValidation type="list" allowBlank="1" showInputMessage="1" showErrorMessage="1" xr:uid="{00000000-0002-0000-0000-000003000000}">
          <x14:formula1>
            <xm:f>HelpInput!$F$4:$F$14</xm:f>
          </x14:formula1>
          <xm:sqref>D10:E10</xm:sqref>
        </x14:dataValidation>
        <x14:dataValidation type="list" allowBlank="1" showInputMessage="1" showErrorMessage="1" error="The Tool is not designed for this data. Please use the drop down menu." xr:uid="{00000000-0002-0000-0000-000004000000}">
          <x14:formula1>
            <xm:f>HelpInput!$B$20:$I$20</xm:f>
          </x14:formula1>
          <xm:sqref>D12:E12</xm:sqref>
        </x14:dataValidation>
        <x14:dataValidation type="list" allowBlank="1" showInputMessage="1" showErrorMessage="1" xr:uid="{00000000-0002-0000-0000-000005000000}">
          <x14:formula1>
            <xm:f>HelpInput!$E$51:$E$58</xm:f>
          </x14:formula1>
          <xm:sqref>G14</xm:sqref>
        </x14:dataValidation>
        <x14:dataValidation type="list" allowBlank="1" showInputMessage="1" showErrorMessage="1" xr:uid="{00000000-0002-0000-0000-000006000000}">
          <x14:formula1>
            <xm:f>HelpInput!$O$5:$O$7</xm:f>
          </x14:formula1>
          <xm:sqref>D24:E24</xm:sqref>
        </x14:dataValidation>
        <x14:dataValidation type="list" allowBlank="1" showInputMessage="1" showErrorMessage="1" xr:uid="{00000000-0002-0000-0000-000007000000}">
          <x14:formula1>
            <xm:f>HelpInput!$O$4:$O$5</xm:f>
          </x14:formula1>
          <xm:sqref>D20:E23 G17:H22 D25:E27</xm:sqref>
        </x14:dataValidation>
        <x14:dataValidation type="list" allowBlank="1" showInputMessage="1" showErrorMessage="1" error="This Version only Basic, VWoGK and VWmGK are shown." promptTitle="Contract options" prompt="Basic - Basis contract model_x000a_VWOGK - Full maintenance without main Components_x000a_VWMGK - Full maintenance with main Components_x000a_VWMGKR - Full maintenance with main Components with Blade Repair_x000a_VVW -" xr:uid="{00000000-0002-0000-0000-000008000000}">
          <x14:formula1>
            <xm:f>HelpInput!$K$4:$K$9</xm:f>
          </x14:formula1>
          <xm:sqref>D17:E17</xm:sqref>
        </x14:dataValidation>
        <x14:dataValidation type="list" allowBlank="1" showInputMessage="1" showErrorMessage="1" xr:uid="{00000000-0002-0000-0000-000009000000}">
          <x14:formula1>
            <xm:f>HelpInput!$R$4:$R$5</xm:f>
          </x14:formula1>
          <xm:sqref>H3</xm:sqref>
        </x14:dataValidation>
        <x14:dataValidation type="list" allowBlank="1" showInputMessage="1" showErrorMessage="1" xr:uid="{00000000-0002-0000-0000-00000A000000}">
          <x14:formula1>
            <xm:f>HelpInput!$S$4:$S$5</xm:f>
          </x14:formula1>
          <xm:sqref>H14</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dimension ref="A1:BA121"/>
  <sheetViews>
    <sheetView zoomScale="70" zoomScaleNormal="70" workbookViewId="0">
      <selection activeCell="O34" sqref="O34"/>
    </sheetView>
  </sheetViews>
  <sheetFormatPr baseColWidth="10" defaultRowHeight="15"/>
  <cols>
    <col min="2" max="2" width="18.85546875" customWidth="1"/>
    <col min="3" max="3" width="13.42578125" customWidth="1"/>
    <col min="4" max="4" width="31.7109375" customWidth="1"/>
    <col min="5" max="5" width="25.28515625" customWidth="1"/>
    <col min="6" max="6" width="25.140625" customWidth="1"/>
  </cols>
  <sheetData>
    <row r="1" spans="1:53" ht="15" customHeight="1">
      <c r="A1" s="177"/>
      <c r="B1" s="869" t="s">
        <v>175</v>
      </c>
      <c r="C1" s="869"/>
      <c r="D1" s="869"/>
      <c r="E1" s="869"/>
      <c r="F1" s="869"/>
      <c r="G1" s="177"/>
      <c r="H1" s="177"/>
      <c r="I1" s="180"/>
      <c r="J1" s="180"/>
      <c r="K1" s="180"/>
      <c r="L1" s="180"/>
      <c r="M1" s="180"/>
      <c r="N1" s="177"/>
      <c r="O1" s="177"/>
      <c r="P1" s="177"/>
      <c r="Q1" s="177"/>
      <c r="R1" s="177"/>
      <c r="S1" s="177"/>
      <c r="T1" s="177"/>
      <c r="U1" s="177"/>
      <c r="V1" s="177"/>
      <c r="W1" s="1"/>
      <c r="X1" s="1"/>
      <c r="Y1" s="1"/>
      <c r="Z1" s="1"/>
      <c r="AA1" s="1"/>
      <c r="AB1" s="1"/>
      <c r="AC1" s="1"/>
      <c r="AD1" s="1"/>
      <c r="AE1" s="1"/>
      <c r="AF1" s="1"/>
      <c r="AG1" s="1"/>
      <c r="AH1" s="1"/>
      <c r="AI1" s="1"/>
      <c r="AJ1" s="1"/>
      <c r="AK1" s="1"/>
      <c r="AL1" s="1"/>
      <c r="AM1" s="1"/>
      <c r="AN1" s="1"/>
      <c r="AO1" s="1"/>
      <c r="AP1" s="1"/>
      <c r="AQ1" s="1"/>
      <c r="AR1" s="1"/>
      <c r="AS1" s="1"/>
    </row>
    <row r="2" spans="1:53" ht="15" customHeight="1">
      <c r="A2" s="177"/>
      <c r="B2" s="869"/>
      <c r="C2" s="869"/>
      <c r="D2" s="869"/>
      <c r="E2" s="869"/>
      <c r="F2" s="869"/>
      <c r="G2" s="177"/>
      <c r="H2" s="177"/>
      <c r="I2" s="180"/>
      <c r="J2" s="180"/>
      <c r="K2" s="180"/>
      <c r="L2" s="180"/>
      <c r="M2" s="180"/>
      <c r="N2" s="177"/>
      <c r="O2" s="177"/>
      <c r="P2" s="177"/>
      <c r="Q2" s="177"/>
      <c r="R2" s="177"/>
      <c r="S2" s="177"/>
      <c r="T2" s="177"/>
      <c r="U2" s="177"/>
      <c r="V2" s="177"/>
      <c r="W2" s="1"/>
      <c r="X2" s="1"/>
      <c r="Y2" s="1"/>
      <c r="Z2" s="1"/>
      <c r="AA2" s="1"/>
      <c r="AB2" s="1"/>
      <c r="AC2" s="1"/>
      <c r="AD2" s="1"/>
      <c r="AE2" s="1"/>
      <c r="AF2" s="1"/>
      <c r="AG2" s="1"/>
      <c r="AH2" s="1"/>
      <c r="AI2" s="1"/>
      <c r="AJ2" s="1"/>
      <c r="AK2" s="1"/>
      <c r="AL2" s="1"/>
      <c r="AM2" s="1"/>
      <c r="AN2" s="1"/>
      <c r="AO2" s="1"/>
      <c r="AP2" s="1"/>
      <c r="AQ2" s="1"/>
      <c r="AR2" s="1"/>
      <c r="AS2" s="1"/>
    </row>
    <row r="3" spans="1:53">
      <c r="A3" s="177"/>
      <c r="B3" s="178" t="s">
        <v>187</v>
      </c>
      <c r="C3" s="178" t="s">
        <v>188</v>
      </c>
      <c r="D3" s="178" t="s">
        <v>189</v>
      </c>
      <c r="E3" s="178" t="s">
        <v>190</v>
      </c>
      <c r="F3" s="178" t="s">
        <v>448</v>
      </c>
      <c r="G3" s="246" t="s">
        <v>740</v>
      </c>
      <c r="H3" s="177"/>
      <c r="I3" s="177"/>
      <c r="J3" s="177"/>
      <c r="K3" s="177"/>
      <c r="L3" s="177"/>
      <c r="M3" s="177"/>
      <c r="N3" s="177"/>
      <c r="O3" s="177"/>
      <c r="P3" s="177"/>
      <c r="Q3" s="177"/>
      <c r="R3" s="177"/>
      <c r="S3" s="177"/>
      <c r="T3" s="177"/>
      <c r="U3" s="177"/>
      <c r="V3" s="177"/>
      <c r="W3" s="1"/>
      <c r="X3" s="1"/>
      <c r="Y3" s="1"/>
      <c r="Z3" s="1"/>
      <c r="AA3" s="1"/>
      <c r="AB3" s="1"/>
      <c r="AC3" s="1"/>
      <c r="AD3" s="76"/>
      <c r="AE3" s="76"/>
      <c r="AF3" s="76"/>
      <c r="AG3" s="76"/>
      <c r="AH3" s="76"/>
      <c r="AI3" s="76"/>
      <c r="AJ3" s="76"/>
      <c r="AK3" s="76"/>
      <c r="AL3" s="76"/>
      <c r="AM3" s="76"/>
      <c r="AN3" s="76"/>
      <c r="AO3" s="76"/>
      <c r="AP3" s="76"/>
      <c r="AQ3" s="76"/>
      <c r="AR3" s="76"/>
      <c r="AS3" s="76"/>
      <c r="AT3" s="76"/>
      <c r="AU3" s="76"/>
      <c r="AV3" s="76"/>
      <c r="AW3" s="76"/>
      <c r="AX3" s="76"/>
      <c r="AY3" s="76"/>
      <c r="AZ3" s="76"/>
      <c r="BA3" s="76"/>
    </row>
    <row r="4" spans="1:53" ht="31.5">
      <c r="A4" s="177"/>
      <c r="B4" s="178" t="s">
        <v>98</v>
      </c>
      <c r="C4" s="178" t="s">
        <v>534</v>
      </c>
      <c r="D4" s="202">
        <v>50.5</v>
      </c>
      <c r="E4" s="202">
        <v>2500</v>
      </c>
      <c r="F4" s="202">
        <v>6</v>
      </c>
      <c r="G4" s="201">
        <v>107</v>
      </c>
      <c r="H4" s="182"/>
      <c r="I4" s="177"/>
      <c r="J4" s="177"/>
      <c r="K4" s="177"/>
      <c r="L4" s="177"/>
      <c r="M4" s="177"/>
      <c r="N4" s="177"/>
      <c r="O4" s="177"/>
      <c r="P4" s="177"/>
      <c r="Q4" s="177"/>
      <c r="R4" s="177"/>
      <c r="S4" s="177"/>
      <c r="T4" s="177"/>
      <c r="U4" s="177"/>
      <c r="V4" s="177"/>
      <c r="W4" s="1"/>
      <c r="X4" s="1"/>
      <c r="Y4" s="1"/>
      <c r="Z4" s="1"/>
      <c r="AA4" s="1"/>
      <c r="AB4" s="1"/>
      <c r="AC4" s="1"/>
      <c r="AD4" s="76"/>
      <c r="AE4" s="76"/>
      <c r="AF4" s="76"/>
      <c r="AG4" s="76"/>
      <c r="AH4" s="76"/>
      <c r="AI4" s="76"/>
      <c r="AJ4" s="76"/>
      <c r="AK4" s="76"/>
      <c r="AL4" s="76"/>
      <c r="AM4" s="76"/>
      <c r="AN4" s="76"/>
      <c r="AO4" s="76"/>
      <c r="AP4" s="76"/>
      <c r="AQ4" s="76"/>
      <c r="AR4" s="76"/>
      <c r="AS4" s="76"/>
      <c r="AT4" s="76"/>
      <c r="AU4" s="76"/>
      <c r="AV4" s="76"/>
      <c r="AW4" s="76"/>
      <c r="AX4" s="76"/>
      <c r="AY4" s="76"/>
      <c r="AZ4" s="76"/>
      <c r="BA4" s="76"/>
    </row>
    <row r="5" spans="1:53">
      <c r="A5" s="177"/>
      <c r="B5" s="178" t="s">
        <v>99</v>
      </c>
      <c r="C5" s="178" t="s">
        <v>534</v>
      </c>
      <c r="D5" s="202">
        <v>55.25</v>
      </c>
      <c r="E5" s="203">
        <v>1500</v>
      </c>
      <c r="F5" s="202">
        <v>8</v>
      </c>
      <c r="G5" s="179">
        <v>15</v>
      </c>
      <c r="H5" s="177"/>
      <c r="I5" s="177"/>
      <c r="J5" s="177"/>
      <c r="K5" s="177"/>
      <c r="L5" s="177"/>
      <c r="M5" s="177"/>
      <c r="N5" s="177"/>
      <c r="O5" s="177"/>
      <c r="P5" s="177"/>
      <c r="Q5" s="177"/>
      <c r="R5" s="177"/>
      <c r="S5" s="177"/>
      <c r="T5" s="177"/>
      <c r="U5" s="177"/>
      <c r="V5" s="177"/>
      <c r="W5" s="1"/>
      <c r="X5" s="1"/>
      <c r="Y5" s="1"/>
      <c r="Z5" s="1"/>
      <c r="AA5" s="1"/>
      <c r="AB5" s="1"/>
      <c r="AC5" s="1"/>
      <c r="AD5" s="76"/>
      <c r="AE5" s="76"/>
      <c r="AF5" s="76"/>
      <c r="AG5" s="76"/>
      <c r="AH5" s="76"/>
      <c r="AI5" s="76"/>
      <c r="AJ5" s="76"/>
      <c r="AK5" s="76"/>
      <c r="AL5" s="76"/>
      <c r="AM5" s="76"/>
      <c r="AN5" s="76"/>
      <c r="AO5" s="76"/>
      <c r="AP5" s="76"/>
      <c r="AQ5" s="76"/>
      <c r="AR5" s="76"/>
      <c r="AS5" s="76"/>
      <c r="AT5" s="76"/>
      <c r="AU5" s="76"/>
      <c r="AV5" s="76"/>
      <c r="AW5" s="76"/>
      <c r="AX5" s="76"/>
      <c r="AY5" s="76"/>
      <c r="AZ5" s="76"/>
      <c r="BA5" s="76"/>
    </row>
    <row r="6" spans="1:53">
      <c r="A6" s="177"/>
      <c r="B6" s="178" t="s">
        <v>100</v>
      </c>
      <c r="C6" s="178" t="s">
        <v>534</v>
      </c>
      <c r="D6" s="201">
        <v>48.75</v>
      </c>
      <c r="E6" s="201">
        <v>1500</v>
      </c>
      <c r="F6" s="201">
        <v>6</v>
      </c>
      <c r="G6" s="179">
        <v>469</v>
      </c>
      <c r="H6" s="177"/>
      <c r="I6" s="177"/>
      <c r="J6" s="177"/>
      <c r="K6" s="177"/>
      <c r="L6" s="177"/>
      <c r="M6" s="177"/>
      <c r="N6" s="177"/>
      <c r="O6" s="177"/>
      <c r="P6" s="177"/>
      <c r="Q6" s="177"/>
      <c r="R6" s="177"/>
      <c r="S6" s="177"/>
      <c r="T6" s="177"/>
      <c r="U6" s="177"/>
      <c r="V6" s="177"/>
      <c r="W6" s="1"/>
      <c r="X6" s="1"/>
      <c r="Y6" s="1"/>
      <c r="Z6" s="1"/>
      <c r="AA6" s="1"/>
      <c r="AB6" s="1"/>
      <c r="AC6" s="1"/>
      <c r="AD6" s="76"/>
      <c r="AE6" s="76"/>
      <c r="AF6" s="76"/>
      <c r="AG6" s="76"/>
      <c r="AH6" s="76"/>
      <c r="AI6" s="76"/>
      <c r="AJ6" s="76"/>
      <c r="AK6" s="76"/>
      <c r="AL6" s="76"/>
      <c r="AM6" s="76"/>
      <c r="AN6" s="76"/>
      <c r="AO6" s="76"/>
      <c r="AP6" s="76"/>
      <c r="AQ6" s="76"/>
      <c r="AR6" s="76"/>
      <c r="AS6" s="76"/>
      <c r="AT6" s="76"/>
      <c r="AU6" s="76"/>
      <c r="AV6" s="76"/>
      <c r="AW6" s="76"/>
      <c r="AX6" s="76"/>
      <c r="AY6" s="76"/>
      <c r="AZ6" s="76"/>
      <c r="BA6" s="76"/>
    </row>
    <row r="7" spans="1:53">
      <c r="A7" s="177"/>
      <c r="B7" s="178" t="s">
        <v>101</v>
      </c>
      <c r="C7" s="178" t="s">
        <v>534</v>
      </c>
      <c r="D7" s="201">
        <v>40.25</v>
      </c>
      <c r="E7" s="201">
        <v>1300</v>
      </c>
      <c r="F7" s="201">
        <v>5</v>
      </c>
      <c r="G7" s="179">
        <v>85</v>
      </c>
      <c r="H7" s="177"/>
      <c r="I7" s="177"/>
      <c r="J7" s="177"/>
      <c r="K7" s="177"/>
      <c r="L7" s="177"/>
      <c r="M7" s="177"/>
      <c r="N7" s="177"/>
      <c r="O7" s="177"/>
      <c r="P7" s="177"/>
      <c r="Q7" s="177"/>
      <c r="R7" s="177"/>
      <c r="S7" s="177"/>
      <c r="T7" s="177"/>
      <c r="U7" s="177"/>
      <c r="V7" s="177"/>
      <c r="W7" s="1"/>
      <c r="X7" s="1"/>
      <c r="Y7" s="1"/>
      <c r="Z7" s="1"/>
      <c r="AA7" s="1"/>
      <c r="AB7" s="1"/>
      <c r="AC7" s="1"/>
      <c r="AD7" s="76"/>
      <c r="AE7" s="76"/>
      <c r="AF7" s="76"/>
      <c r="AG7" s="76"/>
      <c r="AH7" s="76"/>
      <c r="AI7" s="76"/>
      <c r="AJ7" s="76"/>
      <c r="AK7" s="76"/>
      <c r="AL7" s="76"/>
      <c r="AM7" s="76"/>
      <c r="AN7" s="76"/>
      <c r="AO7" s="76"/>
      <c r="AP7" s="76"/>
      <c r="AQ7" s="76"/>
      <c r="AR7" s="76"/>
      <c r="AS7" s="76"/>
      <c r="AT7" s="76"/>
      <c r="AU7" s="76"/>
      <c r="AV7" s="76"/>
      <c r="AW7" s="76"/>
      <c r="AX7" s="76"/>
      <c r="AY7" s="76"/>
      <c r="AZ7" s="76"/>
      <c r="BA7" s="76"/>
    </row>
    <row r="8" spans="1:53">
      <c r="A8" s="177"/>
      <c r="B8" s="178" t="s">
        <v>102</v>
      </c>
      <c r="C8" s="178" t="s">
        <v>534</v>
      </c>
      <c r="D8" s="201">
        <v>67.5</v>
      </c>
      <c r="E8" s="201">
        <v>2600</v>
      </c>
      <c r="F8" s="201">
        <v>8</v>
      </c>
      <c r="G8" s="179">
        <v>575</v>
      </c>
      <c r="H8" s="177"/>
      <c r="I8" s="177"/>
      <c r="J8" s="177"/>
      <c r="K8" s="177"/>
      <c r="L8" s="177"/>
      <c r="M8" s="177"/>
      <c r="N8" s="177"/>
      <c r="O8" s="177"/>
      <c r="P8" s="177"/>
      <c r="Q8" s="177"/>
      <c r="R8" s="177"/>
      <c r="S8" s="177"/>
      <c r="T8" s="177"/>
      <c r="U8" s="177"/>
      <c r="V8" s="177"/>
      <c r="W8" s="1"/>
      <c r="X8" s="1"/>
      <c r="Y8" s="1"/>
      <c r="Z8" s="1"/>
      <c r="AA8" s="1"/>
      <c r="AB8" s="1"/>
      <c r="AC8" s="1"/>
      <c r="AD8" s="76"/>
      <c r="AE8" s="76"/>
      <c r="AF8" s="76"/>
      <c r="AG8" s="76"/>
      <c r="AH8" s="76"/>
      <c r="AI8" s="76"/>
      <c r="AJ8" s="76"/>
      <c r="AK8" s="76"/>
      <c r="AL8" s="76"/>
      <c r="AM8" s="76"/>
      <c r="AN8" s="76"/>
      <c r="AO8" s="76"/>
      <c r="AP8" s="76"/>
      <c r="AQ8" s="76"/>
      <c r="AR8" s="76"/>
      <c r="AS8" s="76"/>
      <c r="AT8" s="76"/>
      <c r="AU8" s="76"/>
      <c r="AV8" s="76"/>
      <c r="AW8" s="76"/>
      <c r="AX8" s="76"/>
      <c r="AY8" s="76"/>
      <c r="AZ8" s="76"/>
      <c r="BA8" s="76"/>
    </row>
    <row r="9" spans="1:53">
      <c r="A9" s="177"/>
      <c r="B9" s="178" t="s">
        <v>103</v>
      </c>
      <c r="C9" s="178" t="s">
        <v>534</v>
      </c>
      <c r="D9" s="201">
        <v>59.75</v>
      </c>
      <c r="E9" s="201">
        <v>2900</v>
      </c>
      <c r="F9" s="201">
        <v>8</v>
      </c>
      <c r="G9" s="179">
        <v>730</v>
      </c>
      <c r="H9" s="177"/>
      <c r="I9" s="177"/>
      <c r="J9" s="177"/>
      <c r="K9" s="177"/>
      <c r="L9" s="177"/>
      <c r="M9" s="177"/>
      <c r="N9" s="177"/>
      <c r="O9" s="177"/>
      <c r="P9" s="177"/>
      <c r="Q9" s="177"/>
      <c r="R9" s="177"/>
      <c r="S9" s="177"/>
      <c r="T9" s="177"/>
      <c r="U9" s="177"/>
      <c r="V9" s="177"/>
      <c r="W9" s="1"/>
      <c r="X9" s="1"/>
      <c r="Y9" s="1"/>
      <c r="Z9" s="1"/>
      <c r="AA9" s="1"/>
      <c r="AB9" s="1"/>
      <c r="AC9" s="1"/>
      <c r="AD9" s="76"/>
      <c r="AE9" s="76"/>
      <c r="AF9" s="76"/>
      <c r="AG9" s="76"/>
      <c r="AH9" s="76"/>
      <c r="AI9" s="76"/>
      <c r="AJ9" s="76"/>
      <c r="AK9" s="76"/>
      <c r="AL9" s="76"/>
      <c r="AM9" s="76"/>
      <c r="AN9" s="76"/>
      <c r="AO9" s="76"/>
      <c r="AP9" s="76"/>
      <c r="AQ9" s="76"/>
      <c r="AR9" s="76"/>
      <c r="AS9" s="76"/>
      <c r="AT9" s="76"/>
      <c r="AU9" s="76"/>
      <c r="AV9" s="76"/>
      <c r="AW9" s="76"/>
      <c r="AX9" s="76"/>
      <c r="AY9" s="76"/>
      <c r="AZ9" s="76"/>
      <c r="BA9" s="76"/>
    </row>
    <row r="10" spans="1:53">
      <c r="A10" s="177"/>
      <c r="B10" s="178" t="s">
        <v>105</v>
      </c>
      <c r="C10" s="178" t="s">
        <v>104</v>
      </c>
      <c r="D10" s="201">
        <v>0</v>
      </c>
      <c r="E10" s="201">
        <v>0</v>
      </c>
      <c r="F10" s="201">
        <v>0</v>
      </c>
      <c r="G10" s="179">
        <v>0</v>
      </c>
      <c r="H10" s="177"/>
      <c r="I10" s="177"/>
      <c r="J10" s="177"/>
      <c r="K10" s="177"/>
      <c r="L10" s="177"/>
      <c r="M10" s="177"/>
      <c r="N10" s="177"/>
      <c r="O10" s="177"/>
      <c r="P10" s="177"/>
      <c r="Q10" s="177"/>
      <c r="R10" s="177"/>
      <c r="S10" s="177"/>
      <c r="T10" s="177"/>
      <c r="U10" s="177"/>
      <c r="V10" s="177"/>
      <c r="W10" s="1"/>
      <c r="X10" s="1"/>
      <c r="Y10" s="1"/>
      <c r="Z10" s="1"/>
      <c r="AA10" s="1"/>
      <c r="AB10" s="1"/>
      <c r="AC10" s="1"/>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row>
    <row r="11" spans="1:53">
      <c r="A11" s="177"/>
      <c r="B11" s="178" t="s">
        <v>107</v>
      </c>
      <c r="C11" s="178" t="s">
        <v>106</v>
      </c>
      <c r="D11" s="201">
        <v>110</v>
      </c>
      <c r="E11" s="201">
        <v>6000</v>
      </c>
      <c r="F11" s="201">
        <v>12</v>
      </c>
      <c r="G11" s="179">
        <v>212</v>
      </c>
      <c r="H11" s="177"/>
      <c r="I11" s="177"/>
      <c r="J11" s="177"/>
      <c r="K11" s="177"/>
      <c r="L11" s="177"/>
      <c r="M11" s="177"/>
      <c r="N11" s="177"/>
      <c r="O11" s="177"/>
      <c r="P11" s="177"/>
      <c r="Q11" s="177"/>
      <c r="R11" s="177"/>
      <c r="S11" s="177"/>
      <c r="T11" s="177"/>
      <c r="U11" s="177"/>
      <c r="V11" s="177"/>
      <c r="W11" s="1"/>
      <c r="X11" s="1"/>
      <c r="Y11" s="1"/>
      <c r="Z11" s="1"/>
      <c r="AA11" s="1"/>
      <c r="AB11" s="1"/>
      <c r="AC11" s="1"/>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row>
    <row r="12" spans="1:53">
      <c r="A12" s="177"/>
      <c r="B12" s="178" t="s">
        <v>108</v>
      </c>
      <c r="C12" s="178" t="s">
        <v>106</v>
      </c>
      <c r="D12" s="201">
        <v>78</v>
      </c>
      <c r="E12" s="201">
        <v>3100</v>
      </c>
      <c r="F12" s="201">
        <v>8</v>
      </c>
      <c r="G12" s="179">
        <v>822</v>
      </c>
      <c r="H12" s="177"/>
      <c r="I12" s="177"/>
      <c r="J12" s="177"/>
      <c r="K12" s="177"/>
      <c r="L12" s="177"/>
      <c r="M12" s="177"/>
      <c r="N12" s="177"/>
      <c r="O12" s="177"/>
      <c r="P12" s="177"/>
      <c r="Q12" s="177"/>
      <c r="R12" s="177"/>
      <c r="S12" s="177"/>
      <c r="T12" s="177"/>
      <c r="U12" s="177"/>
      <c r="V12" s="177"/>
      <c r="W12" s="1"/>
      <c r="X12" s="1"/>
      <c r="Y12" s="1"/>
      <c r="Z12" s="1"/>
      <c r="AA12" s="1"/>
      <c r="AB12" s="1"/>
      <c r="AC12" s="1"/>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row>
    <row r="13" spans="1:53">
      <c r="A13" s="177"/>
      <c r="B13" s="178" t="s">
        <v>109</v>
      </c>
      <c r="C13" s="178" t="s">
        <v>106</v>
      </c>
      <c r="D13" s="201">
        <v>0</v>
      </c>
      <c r="E13" s="201">
        <v>0</v>
      </c>
      <c r="F13" s="201">
        <v>0</v>
      </c>
      <c r="G13" s="179">
        <v>0</v>
      </c>
      <c r="H13" s="177"/>
      <c r="I13" s="177"/>
      <c r="J13" s="177"/>
      <c r="K13" s="177"/>
      <c r="L13" s="177"/>
      <c r="M13" s="177"/>
      <c r="N13" s="177"/>
      <c r="O13" s="177"/>
      <c r="P13" s="177"/>
      <c r="Q13" s="177"/>
      <c r="R13" s="177"/>
      <c r="S13" s="177"/>
      <c r="T13" s="177"/>
      <c r="U13" s="177"/>
      <c r="V13" s="177"/>
      <c r="W13" s="1"/>
      <c r="X13" s="1"/>
      <c r="Y13" s="1"/>
      <c r="Z13" s="1"/>
      <c r="AA13" s="1"/>
      <c r="AB13" s="1"/>
      <c r="AC13" s="1"/>
      <c r="AD13" s="76"/>
      <c r="AE13" s="76"/>
      <c r="AF13" s="76"/>
      <c r="AG13" s="76"/>
      <c r="AH13" s="76"/>
      <c r="AI13" s="76"/>
      <c r="AJ13" s="76"/>
      <c r="AK13" s="76"/>
      <c r="AL13" s="76"/>
      <c r="AM13" s="76"/>
      <c r="AN13" s="76"/>
      <c r="AO13" s="76"/>
      <c r="AP13" s="76"/>
      <c r="AQ13" s="76"/>
      <c r="AR13" s="76"/>
      <c r="AS13" s="76"/>
      <c r="AT13" s="76"/>
      <c r="AU13" s="76"/>
      <c r="AV13" s="76"/>
      <c r="AW13" s="76"/>
      <c r="AX13" s="76"/>
      <c r="AY13" s="76"/>
      <c r="AZ13" s="76"/>
      <c r="BA13" s="76"/>
    </row>
    <row r="14" spans="1:53">
      <c r="A14" s="177"/>
      <c r="B14" s="178" t="s">
        <v>110</v>
      </c>
      <c r="C14" s="178" t="s">
        <v>106</v>
      </c>
      <c r="D14" s="201">
        <v>0</v>
      </c>
      <c r="E14" s="201">
        <v>0</v>
      </c>
      <c r="F14" s="201">
        <v>0</v>
      </c>
      <c r="G14" s="179">
        <v>0</v>
      </c>
      <c r="H14" s="177"/>
      <c r="I14" s="177"/>
      <c r="J14" s="177"/>
      <c r="K14" s="177"/>
      <c r="L14" s="177"/>
      <c r="M14" s="177"/>
      <c r="N14" s="177"/>
      <c r="O14" s="177"/>
      <c r="P14" s="177"/>
      <c r="Q14" s="177"/>
      <c r="R14" s="177"/>
      <c r="S14" s="177"/>
      <c r="T14" s="177"/>
      <c r="U14" s="177"/>
      <c r="V14" s="177"/>
      <c r="W14" s="1"/>
      <c r="X14" s="1"/>
      <c r="Y14" s="1"/>
      <c r="Z14" s="1"/>
      <c r="AA14" s="1"/>
      <c r="AB14" s="1"/>
      <c r="AC14" s="1"/>
      <c r="AD14" s="76"/>
      <c r="AE14" s="76"/>
      <c r="AF14" s="76"/>
      <c r="AG14" s="76"/>
      <c r="AH14" s="76"/>
      <c r="AI14" s="76"/>
      <c r="AJ14" s="76"/>
      <c r="AK14" s="76"/>
      <c r="AL14" s="76"/>
      <c r="AM14" s="76"/>
      <c r="AN14" s="76"/>
      <c r="AO14" s="76"/>
      <c r="AP14" s="76"/>
      <c r="AQ14" s="76"/>
      <c r="AR14" s="76"/>
      <c r="AS14" s="76"/>
      <c r="AT14" s="76"/>
      <c r="AU14" s="76"/>
      <c r="AV14" s="76"/>
      <c r="AW14" s="76"/>
      <c r="AX14" s="76"/>
      <c r="AY14" s="76"/>
      <c r="AZ14" s="76"/>
      <c r="BA14" s="76"/>
    </row>
    <row r="15" spans="1:53">
      <c r="A15" s="177"/>
      <c r="B15" s="178" t="s">
        <v>111</v>
      </c>
      <c r="C15" s="178" t="s">
        <v>106</v>
      </c>
      <c r="D15" s="201">
        <v>0</v>
      </c>
      <c r="E15" s="201">
        <v>0</v>
      </c>
      <c r="F15" s="201">
        <v>0</v>
      </c>
      <c r="G15" s="179">
        <v>0</v>
      </c>
      <c r="H15" s="177"/>
      <c r="I15" s="177"/>
      <c r="J15" s="177"/>
      <c r="K15" s="177"/>
      <c r="L15" s="177"/>
      <c r="M15" s="177"/>
      <c r="N15" s="177"/>
      <c r="O15" s="177"/>
      <c r="P15" s="177"/>
      <c r="Q15" s="177"/>
      <c r="R15" s="177"/>
      <c r="S15" s="177"/>
      <c r="T15" s="177"/>
      <c r="U15" s="177"/>
      <c r="V15" s="177"/>
      <c r="W15" s="1"/>
      <c r="X15" s="1"/>
      <c r="Y15" s="1"/>
      <c r="Z15" s="1"/>
      <c r="AA15" s="1"/>
      <c r="AB15" s="1"/>
      <c r="AC15" s="1"/>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row>
    <row r="16" spans="1:53">
      <c r="A16" s="177"/>
      <c r="B16" s="443" t="s">
        <v>746</v>
      </c>
      <c r="C16" s="178" t="s">
        <v>106</v>
      </c>
      <c r="D16" s="446">
        <v>1</v>
      </c>
      <c r="E16" s="179">
        <v>1</v>
      </c>
      <c r="F16" s="447">
        <v>1</v>
      </c>
      <c r="G16" s="177">
        <v>1</v>
      </c>
      <c r="H16" s="177"/>
      <c r="I16" s="177"/>
      <c r="J16" s="177"/>
      <c r="K16" s="177"/>
      <c r="L16" s="177"/>
      <c r="M16" s="177"/>
      <c r="N16" s="177"/>
      <c r="O16" s="177"/>
      <c r="P16" s="177"/>
      <c r="Q16" s="177"/>
      <c r="R16" s="177"/>
      <c r="S16" s="177"/>
      <c r="T16" s="177"/>
      <c r="U16" s="177"/>
      <c r="V16" s="177"/>
      <c r="W16" s="1"/>
      <c r="X16" s="1"/>
      <c r="Y16" s="1"/>
      <c r="Z16" s="1"/>
      <c r="AA16" s="1"/>
      <c r="AB16" s="1"/>
      <c r="AC16" s="1"/>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row>
    <row r="17" spans="1:53">
      <c r="A17" s="177"/>
      <c r="B17" s="178" t="s">
        <v>112</v>
      </c>
      <c r="C17" s="178" t="s">
        <v>106</v>
      </c>
      <c r="D17" s="201">
        <v>206.75</v>
      </c>
      <c r="E17" s="201">
        <v>6900</v>
      </c>
      <c r="F17" s="201">
        <v>19</v>
      </c>
      <c r="G17" s="179">
        <v>77</v>
      </c>
      <c r="H17" s="177"/>
      <c r="I17" s="177"/>
      <c r="J17" s="177"/>
      <c r="K17" s="177"/>
      <c r="L17" s="177"/>
      <c r="M17" s="177"/>
      <c r="N17" s="177"/>
      <c r="O17" s="177"/>
      <c r="P17" s="177"/>
      <c r="Q17" s="177"/>
      <c r="R17" s="177"/>
      <c r="S17" s="177"/>
      <c r="T17" s="177"/>
      <c r="U17" s="177"/>
      <c r="V17" s="177"/>
      <c r="W17" s="1"/>
      <c r="X17" s="1"/>
      <c r="Y17" s="1"/>
      <c r="Z17" s="1"/>
      <c r="AA17" s="1"/>
      <c r="AB17" s="1"/>
      <c r="AC17" s="1"/>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row>
    <row r="18" spans="1:53">
      <c r="A18" s="177"/>
      <c r="B18" s="178" t="s">
        <v>113</v>
      </c>
      <c r="C18" s="178" t="s">
        <v>106</v>
      </c>
      <c r="D18" s="201">
        <v>155.25</v>
      </c>
      <c r="E18" s="201">
        <v>3500</v>
      </c>
      <c r="F18" s="201">
        <v>11</v>
      </c>
      <c r="G18" s="179">
        <v>33</v>
      </c>
      <c r="H18" s="177"/>
      <c r="I18" s="177"/>
      <c r="J18" s="177"/>
      <c r="K18" s="177"/>
      <c r="L18" s="177"/>
      <c r="M18" s="177"/>
      <c r="N18" s="177"/>
      <c r="O18" s="177"/>
      <c r="P18" s="177"/>
      <c r="Q18" s="177"/>
      <c r="R18" s="177"/>
      <c r="S18" s="177"/>
      <c r="T18" s="177"/>
      <c r="U18" s="177"/>
      <c r="V18" s="177"/>
      <c r="W18" s="1"/>
      <c r="X18" s="1"/>
      <c r="Y18" s="1"/>
      <c r="Z18" s="1"/>
      <c r="AA18" s="1"/>
      <c r="AB18" s="1"/>
      <c r="AC18" s="1"/>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row>
    <row r="19" spans="1:53">
      <c r="A19" s="177"/>
      <c r="B19" s="178" t="s">
        <v>115</v>
      </c>
      <c r="C19" s="178" t="s">
        <v>114</v>
      </c>
      <c r="D19" s="201">
        <v>67</v>
      </c>
      <c r="E19" s="201">
        <v>3000</v>
      </c>
      <c r="F19" s="201">
        <v>8</v>
      </c>
      <c r="G19" s="179">
        <v>377</v>
      </c>
      <c r="H19" s="177"/>
      <c r="I19" s="177"/>
      <c r="J19" s="177"/>
      <c r="K19" s="177"/>
      <c r="L19" s="177"/>
      <c r="M19" s="177"/>
      <c r="N19" s="177"/>
      <c r="O19" s="177"/>
      <c r="P19" s="177"/>
      <c r="Q19" s="177"/>
      <c r="R19" s="177"/>
      <c r="S19" s="177"/>
      <c r="T19" s="177"/>
      <c r="U19" s="177"/>
      <c r="V19" s="177"/>
      <c r="W19" s="1"/>
      <c r="X19" s="1"/>
      <c r="Y19" s="1"/>
      <c r="Z19" s="1"/>
      <c r="AA19" s="1"/>
      <c r="AB19" s="1"/>
      <c r="AC19" s="1"/>
      <c r="AD19" s="76"/>
      <c r="AE19" s="76"/>
      <c r="AF19" s="76"/>
      <c r="AG19" s="76"/>
      <c r="AH19" s="76"/>
      <c r="AI19" s="76"/>
      <c r="AJ19" s="76"/>
      <c r="AK19" s="76"/>
      <c r="AL19" s="76"/>
      <c r="AM19" s="76"/>
      <c r="AN19" s="76"/>
      <c r="AO19" s="76"/>
      <c r="AP19" s="76"/>
      <c r="AQ19" s="76"/>
      <c r="AR19" s="76"/>
      <c r="AS19" s="76"/>
      <c r="AT19" s="76"/>
      <c r="AU19" s="76"/>
      <c r="AV19" s="76"/>
      <c r="AW19" s="76"/>
      <c r="AX19" s="76"/>
      <c r="AY19" s="76"/>
      <c r="AZ19" s="76"/>
      <c r="BA19" s="76"/>
    </row>
    <row r="20" spans="1:53">
      <c r="A20" s="177"/>
      <c r="B20" s="178" t="s">
        <v>116</v>
      </c>
      <c r="C20" s="178" t="s">
        <v>114</v>
      </c>
      <c r="D20" s="201">
        <v>60.5</v>
      </c>
      <c r="E20" s="201">
        <v>3100</v>
      </c>
      <c r="F20" s="201">
        <v>8</v>
      </c>
      <c r="G20" s="179">
        <v>23</v>
      </c>
      <c r="H20" s="177"/>
      <c r="I20" s="177"/>
      <c r="J20" s="177"/>
      <c r="K20" s="177"/>
      <c r="L20" s="177"/>
      <c r="M20" s="177"/>
      <c r="N20" s="177"/>
      <c r="O20" s="177"/>
      <c r="P20" s="177"/>
      <c r="Q20" s="177"/>
      <c r="R20" s="177"/>
      <c r="S20" s="177"/>
      <c r="T20" s="177"/>
      <c r="U20" s="177"/>
      <c r="V20" s="177"/>
      <c r="W20" s="1"/>
      <c r="X20" s="1"/>
      <c r="Y20" s="1"/>
      <c r="Z20" s="1"/>
      <c r="AA20" s="1"/>
      <c r="AB20" s="1"/>
      <c r="AC20" s="1"/>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row>
    <row r="21" spans="1:53">
      <c r="A21" s="177"/>
      <c r="B21" s="178" t="s">
        <v>117</v>
      </c>
      <c r="C21" s="178" t="s">
        <v>114</v>
      </c>
      <c r="D21" s="201">
        <v>74</v>
      </c>
      <c r="E21" s="201">
        <v>3900</v>
      </c>
      <c r="F21" s="201">
        <v>7</v>
      </c>
      <c r="G21" s="179">
        <v>112</v>
      </c>
      <c r="H21" s="177"/>
      <c r="I21" s="177"/>
      <c r="J21" s="177"/>
      <c r="K21" s="177"/>
      <c r="L21" s="177"/>
      <c r="M21" s="177"/>
      <c r="N21" s="177"/>
      <c r="O21" s="177"/>
      <c r="P21" s="177"/>
      <c r="Q21" s="177"/>
      <c r="R21" s="177"/>
      <c r="S21" s="177"/>
      <c r="T21" s="177"/>
      <c r="U21" s="177"/>
      <c r="V21" s="177"/>
      <c r="W21" s="1"/>
      <c r="X21" s="1"/>
      <c r="Y21" s="1"/>
      <c r="Z21" s="1"/>
      <c r="AA21" s="1"/>
      <c r="AB21" s="1"/>
      <c r="AC21" s="1"/>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row>
    <row r="22" spans="1:53">
      <c r="A22" s="177"/>
      <c r="B22" s="178" t="s">
        <v>118</v>
      </c>
      <c r="C22" s="178" t="s">
        <v>114</v>
      </c>
      <c r="D22" s="201">
        <v>107</v>
      </c>
      <c r="E22" s="201">
        <v>5300</v>
      </c>
      <c r="F22" s="201">
        <v>10</v>
      </c>
      <c r="G22" s="179">
        <v>4150</v>
      </c>
      <c r="H22" s="177"/>
      <c r="I22" s="177"/>
      <c r="J22" s="177"/>
      <c r="K22" s="177"/>
      <c r="L22" s="177"/>
      <c r="M22" s="177"/>
      <c r="N22" s="177"/>
      <c r="O22" s="177"/>
      <c r="P22" s="177"/>
      <c r="Q22" s="177"/>
      <c r="R22" s="177"/>
      <c r="S22" s="177"/>
      <c r="T22" s="177"/>
      <c r="U22" s="177"/>
      <c r="V22" s="177"/>
      <c r="W22" s="1"/>
      <c r="X22" s="1"/>
      <c r="Y22" s="1"/>
      <c r="Z22" s="1"/>
      <c r="AA22" s="1"/>
      <c r="AB22" s="1"/>
      <c r="AC22" s="1"/>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row>
    <row r="23" spans="1:53">
      <c r="A23" s="177"/>
      <c r="B23" s="178" t="s">
        <v>119</v>
      </c>
      <c r="C23" s="178" t="s">
        <v>114</v>
      </c>
      <c r="D23" s="201">
        <v>64</v>
      </c>
      <c r="E23" s="201">
        <v>3500</v>
      </c>
      <c r="F23" s="201">
        <v>8</v>
      </c>
      <c r="G23" s="179">
        <v>3089</v>
      </c>
      <c r="H23" s="177"/>
      <c r="I23" s="177"/>
      <c r="J23" s="177"/>
      <c r="K23" s="177"/>
      <c r="L23" s="177"/>
      <c r="M23" s="177"/>
      <c r="N23" s="177"/>
      <c r="O23" s="177"/>
      <c r="P23" s="177"/>
      <c r="Q23" s="177"/>
      <c r="R23" s="177"/>
      <c r="S23" s="177"/>
      <c r="T23" s="177"/>
      <c r="U23" s="177"/>
      <c r="V23" s="177"/>
      <c r="W23" s="1"/>
      <c r="X23" s="1"/>
      <c r="Y23" s="1"/>
      <c r="Z23" s="1"/>
      <c r="AA23" s="1"/>
      <c r="AB23" s="1"/>
      <c r="AC23" s="1"/>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row>
    <row r="24" spans="1:53">
      <c r="A24" s="177"/>
      <c r="B24" s="178" t="s">
        <v>120</v>
      </c>
      <c r="C24" s="178" t="s">
        <v>114</v>
      </c>
      <c r="D24" s="201">
        <v>69.5</v>
      </c>
      <c r="E24" s="201">
        <v>2900</v>
      </c>
      <c r="F24" s="201">
        <v>8</v>
      </c>
      <c r="G24" s="179">
        <v>322</v>
      </c>
      <c r="H24" s="177"/>
      <c r="I24" s="177"/>
      <c r="J24" s="177"/>
      <c r="K24" s="177"/>
      <c r="L24" s="177"/>
      <c r="M24" s="177"/>
      <c r="N24" s="177"/>
      <c r="O24" s="177"/>
      <c r="P24" s="177"/>
      <c r="Q24" s="177"/>
      <c r="R24" s="177"/>
      <c r="S24" s="177"/>
      <c r="T24" s="177"/>
      <c r="U24" s="177"/>
      <c r="V24" s="177"/>
      <c r="W24" s="1"/>
      <c r="X24" s="1"/>
      <c r="Y24" s="1"/>
      <c r="Z24" s="1"/>
      <c r="AA24" s="1"/>
      <c r="AB24" s="1"/>
      <c r="AC24" s="1"/>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row>
    <row r="25" spans="1:53">
      <c r="A25" s="177"/>
      <c r="B25" s="178" t="s">
        <v>121</v>
      </c>
      <c r="C25" s="178" t="s">
        <v>114</v>
      </c>
      <c r="D25" s="201">
        <v>61.75</v>
      </c>
      <c r="E25" s="201">
        <v>1900</v>
      </c>
      <c r="F25" s="201">
        <v>6</v>
      </c>
      <c r="G25" s="179">
        <v>83</v>
      </c>
      <c r="H25" s="177"/>
      <c r="I25" s="177"/>
      <c r="J25" s="177"/>
      <c r="K25" s="177"/>
      <c r="L25" s="177"/>
      <c r="M25" s="177"/>
      <c r="N25" s="177"/>
      <c r="O25" s="177"/>
      <c r="P25" s="177"/>
      <c r="Q25" s="177"/>
      <c r="R25" s="177"/>
      <c r="S25" s="177"/>
      <c r="T25" s="177"/>
      <c r="U25" s="177"/>
      <c r="V25" s="177"/>
      <c r="W25" s="1"/>
      <c r="X25" s="1"/>
      <c r="Y25" s="1"/>
      <c r="Z25" s="1"/>
      <c r="AA25" s="1"/>
      <c r="AB25" s="1"/>
      <c r="AC25" s="1"/>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row>
    <row r="26" spans="1:53">
      <c r="A26" s="177"/>
      <c r="B26" s="178" t="s">
        <v>123</v>
      </c>
      <c r="C26" s="178" t="s">
        <v>122</v>
      </c>
      <c r="D26" s="181">
        <v>46.5</v>
      </c>
      <c r="E26" s="183">
        <v>3600</v>
      </c>
      <c r="F26" s="178">
        <v>7</v>
      </c>
      <c r="G26" s="179"/>
      <c r="H26" s="177"/>
      <c r="I26" s="177"/>
      <c r="J26" s="177"/>
      <c r="K26" s="177"/>
      <c r="L26" s="177"/>
      <c r="M26" s="177"/>
      <c r="N26" s="177"/>
      <c r="O26" s="177"/>
      <c r="P26" s="177"/>
      <c r="Q26" s="177"/>
      <c r="R26" s="177"/>
      <c r="S26" s="177"/>
      <c r="T26" s="177"/>
      <c r="U26" s="177"/>
      <c r="V26" s="177"/>
      <c r="W26" s="1"/>
      <c r="X26" s="1"/>
      <c r="Y26" s="1"/>
      <c r="Z26" s="1"/>
      <c r="AA26" s="1"/>
      <c r="AB26" s="1"/>
      <c r="AC26" s="1"/>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row>
    <row r="27" spans="1:53">
      <c r="A27" s="177"/>
      <c r="B27" s="178" t="s">
        <v>124</v>
      </c>
      <c r="C27" s="178" t="s">
        <v>122</v>
      </c>
      <c r="D27" s="181">
        <v>46.5</v>
      </c>
      <c r="E27" s="183">
        <v>3600</v>
      </c>
      <c r="F27" s="178">
        <v>7</v>
      </c>
      <c r="G27" s="179">
        <v>0</v>
      </c>
      <c r="H27" s="177"/>
      <c r="I27" s="177"/>
      <c r="J27" s="177"/>
      <c r="K27" s="177"/>
      <c r="L27" s="177"/>
      <c r="M27" s="177"/>
      <c r="N27" s="177"/>
      <c r="O27" s="177"/>
      <c r="P27" s="177"/>
      <c r="Q27" s="177"/>
      <c r="R27" s="177"/>
      <c r="S27" s="177"/>
      <c r="T27" s="177"/>
      <c r="U27" s="177"/>
      <c r="V27" s="177"/>
      <c r="W27" s="1"/>
      <c r="X27" s="1"/>
      <c r="Y27" s="1"/>
      <c r="Z27" s="1"/>
      <c r="AA27" s="1"/>
      <c r="AB27" s="1"/>
      <c r="AC27" s="1"/>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row>
    <row r="28" spans="1:53">
      <c r="A28" s="177"/>
      <c r="B28" s="178" t="s">
        <v>125</v>
      </c>
      <c r="C28" s="178" t="s">
        <v>122</v>
      </c>
      <c r="D28" s="181">
        <v>46.5</v>
      </c>
      <c r="E28" s="183">
        <v>3600</v>
      </c>
      <c r="F28" s="178">
        <v>7</v>
      </c>
      <c r="G28" s="179">
        <v>0</v>
      </c>
      <c r="H28" s="177"/>
      <c r="I28" s="177"/>
      <c r="J28" s="177"/>
      <c r="K28" s="177"/>
      <c r="L28" s="177"/>
      <c r="M28" s="177"/>
      <c r="N28" s="177"/>
      <c r="O28" s="177"/>
      <c r="P28" s="177"/>
      <c r="Q28" s="177"/>
      <c r="R28" s="177"/>
      <c r="S28" s="177"/>
      <c r="T28" s="177"/>
      <c r="U28" s="177"/>
      <c r="V28" s="177"/>
      <c r="W28" s="1"/>
      <c r="X28" s="1"/>
      <c r="Y28" s="1"/>
      <c r="Z28" s="1"/>
      <c r="AA28" s="1"/>
      <c r="AB28" s="1"/>
      <c r="AC28" s="1"/>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row>
    <row r="29" spans="1:53">
      <c r="A29" s="177"/>
      <c r="B29" s="178" t="s">
        <v>126</v>
      </c>
      <c r="C29" s="178" t="s">
        <v>122</v>
      </c>
      <c r="D29" s="181">
        <v>46.5</v>
      </c>
      <c r="E29" s="183">
        <v>3600</v>
      </c>
      <c r="F29" s="178">
        <v>7</v>
      </c>
      <c r="G29" s="179">
        <v>0</v>
      </c>
      <c r="H29" s="177"/>
      <c r="I29" s="177"/>
      <c r="J29" s="177"/>
      <c r="K29" s="177"/>
      <c r="L29" s="177"/>
      <c r="M29" s="177"/>
      <c r="N29" s="177"/>
      <c r="O29" s="177"/>
      <c r="P29" s="177"/>
      <c r="Q29" s="177"/>
      <c r="R29" s="177"/>
      <c r="S29" s="177"/>
      <c r="T29" s="177"/>
      <c r="U29" s="177"/>
      <c r="V29" s="177"/>
      <c r="W29" s="1"/>
      <c r="X29" s="1"/>
      <c r="Y29" s="1"/>
      <c r="Z29" s="1"/>
      <c r="AA29" s="1"/>
      <c r="AB29" s="1"/>
      <c r="AC29" s="1"/>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row>
    <row r="30" spans="1:53">
      <c r="A30" s="177"/>
      <c r="B30" s="178" t="s">
        <v>127</v>
      </c>
      <c r="C30" s="178" t="s">
        <v>122</v>
      </c>
      <c r="D30" s="181">
        <v>46.5</v>
      </c>
      <c r="E30" s="183">
        <v>3600</v>
      </c>
      <c r="F30" s="178">
        <v>7</v>
      </c>
      <c r="G30" s="179">
        <v>0</v>
      </c>
      <c r="H30" s="177"/>
      <c r="I30" s="177"/>
      <c r="J30" s="177"/>
      <c r="K30" s="177"/>
      <c r="L30" s="177"/>
      <c r="M30" s="177"/>
      <c r="N30" s="177"/>
      <c r="O30" s="177"/>
      <c r="P30" s="177"/>
      <c r="Q30" s="177"/>
      <c r="R30" s="177"/>
      <c r="S30" s="177"/>
      <c r="T30" s="177"/>
      <c r="U30" s="177"/>
      <c r="V30" s="177"/>
      <c r="W30" s="1"/>
      <c r="X30" s="1"/>
      <c r="Y30" s="1"/>
      <c r="Z30" s="1"/>
      <c r="AA30" s="1"/>
      <c r="AB30" s="1"/>
      <c r="AC30" s="1"/>
      <c r="AD30" s="76"/>
      <c r="AE30" s="76"/>
      <c r="AF30" s="76"/>
      <c r="AG30" s="76"/>
      <c r="AH30" s="76"/>
      <c r="AI30" s="76"/>
      <c r="AJ30" s="76"/>
      <c r="AK30" s="76"/>
      <c r="AL30" s="76"/>
      <c r="AM30" s="76"/>
      <c r="AN30" s="76"/>
      <c r="AO30" s="76"/>
      <c r="AP30" s="76"/>
      <c r="AQ30" s="76"/>
      <c r="AR30" s="76"/>
      <c r="AS30" s="76"/>
      <c r="AT30" s="76"/>
      <c r="AU30" s="76"/>
      <c r="AV30" s="76"/>
      <c r="AW30" s="76"/>
      <c r="AX30" s="76"/>
      <c r="AY30" s="76"/>
      <c r="AZ30" s="76"/>
      <c r="BA30" s="76"/>
    </row>
    <row r="31" spans="1:53">
      <c r="A31" s="177"/>
      <c r="B31" s="178" t="s">
        <v>128</v>
      </c>
      <c r="C31" s="178" t="s">
        <v>122</v>
      </c>
      <c r="D31" s="181">
        <v>46.5</v>
      </c>
      <c r="E31" s="183">
        <v>3600</v>
      </c>
      <c r="F31" s="178">
        <v>7</v>
      </c>
      <c r="G31" s="179">
        <v>0</v>
      </c>
      <c r="H31" s="177"/>
      <c r="I31" s="177"/>
      <c r="J31" s="177"/>
      <c r="K31" s="177"/>
      <c r="L31" s="177"/>
      <c r="M31" s="177"/>
      <c r="N31" s="177"/>
      <c r="O31" s="177"/>
      <c r="P31" s="177"/>
      <c r="Q31" s="177"/>
      <c r="R31" s="177"/>
      <c r="S31" s="177"/>
      <c r="T31" s="177"/>
      <c r="U31" s="177"/>
      <c r="V31" s="177"/>
      <c r="W31" s="1"/>
      <c r="X31" s="1"/>
      <c r="Y31" s="1"/>
      <c r="Z31" s="1"/>
      <c r="AA31" s="1"/>
      <c r="AB31" s="1"/>
      <c r="AC31" s="1"/>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row>
    <row r="32" spans="1:53">
      <c r="A32" s="177"/>
      <c r="B32" s="178" t="s">
        <v>129</v>
      </c>
      <c r="C32" s="178" t="s">
        <v>122</v>
      </c>
      <c r="D32" s="181">
        <v>46.5</v>
      </c>
      <c r="E32" s="183">
        <v>3600</v>
      </c>
      <c r="F32" s="178">
        <v>7</v>
      </c>
      <c r="G32" s="179">
        <v>0</v>
      </c>
      <c r="H32" s="177"/>
      <c r="I32" s="177"/>
      <c r="J32" s="177"/>
      <c r="K32" s="177"/>
      <c r="L32" s="177"/>
      <c r="M32" s="177"/>
      <c r="N32" s="177"/>
      <c r="O32" s="177"/>
      <c r="P32" s="177"/>
      <c r="Q32" s="177"/>
      <c r="R32" s="177"/>
      <c r="S32" s="177"/>
      <c r="T32" s="177"/>
      <c r="U32" s="177"/>
      <c r="V32" s="177"/>
      <c r="W32" s="1"/>
      <c r="X32" s="1"/>
      <c r="Y32" s="1"/>
      <c r="Z32" s="1"/>
      <c r="AA32" s="1"/>
      <c r="AB32" s="1"/>
      <c r="AC32" s="1"/>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row>
    <row r="33" spans="1:53">
      <c r="A33" s="177"/>
      <c r="B33" s="178" t="s">
        <v>131</v>
      </c>
      <c r="C33" s="178" t="s">
        <v>130</v>
      </c>
      <c r="D33" s="181">
        <v>135</v>
      </c>
      <c r="E33" s="183">
        <v>8000</v>
      </c>
      <c r="F33" s="178">
        <v>15</v>
      </c>
      <c r="G33" s="179">
        <v>0</v>
      </c>
      <c r="H33" s="177"/>
      <c r="I33" s="177"/>
      <c r="J33" s="177"/>
      <c r="K33" s="177"/>
      <c r="L33" s="177"/>
      <c r="M33" s="177"/>
      <c r="N33" s="177"/>
      <c r="O33" s="177"/>
      <c r="P33" s="177"/>
      <c r="Q33" s="177"/>
      <c r="R33" s="177"/>
      <c r="S33" s="177"/>
      <c r="T33" s="177"/>
      <c r="U33" s="177"/>
      <c r="V33" s="177"/>
      <c r="W33" s="1"/>
      <c r="X33" s="1"/>
      <c r="Y33" s="1"/>
      <c r="Z33" s="1"/>
      <c r="AA33" s="1"/>
      <c r="AB33" s="1"/>
      <c r="AC33" s="1"/>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row>
    <row r="34" spans="1:53">
      <c r="A34" s="177"/>
      <c r="B34" s="178" t="s">
        <v>132</v>
      </c>
      <c r="C34" s="178" t="s">
        <v>130</v>
      </c>
      <c r="D34" s="181">
        <v>135</v>
      </c>
      <c r="E34" s="183">
        <v>8000</v>
      </c>
      <c r="F34" s="178">
        <v>15</v>
      </c>
      <c r="G34" s="179">
        <v>0</v>
      </c>
      <c r="H34" s="177"/>
      <c r="I34" s="177"/>
      <c r="J34" s="177"/>
      <c r="K34" s="177"/>
      <c r="L34" s="177"/>
      <c r="M34" s="177"/>
      <c r="N34" s="177"/>
      <c r="O34" s="177"/>
      <c r="P34" s="177"/>
      <c r="Q34" s="177"/>
      <c r="R34" s="177"/>
      <c r="S34" s="177"/>
      <c r="T34" s="177"/>
      <c r="U34" s="177"/>
      <c r="V34" s="177"/>
      <c r="W34" s="1"/>
      <c r="X34" s="1"/>
      <c r="Y34" s="1"/>
      <c r="Z34" s="1"/>
      <c r="AA34" s="1"/>
      <c r="AB34" s="1"/>
      <c r="AC34" s="1"/>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76"/>
    </row>
    <row r="35" spans="1:53">
      <c r="A35" s="177"/>
      <c r="B35" s="178" t="s">
        <v>133</v>
      </c>
      <c r="C35" s="178" t="s">
        <v>130</v>
      </c>
      <c r="D35" s="181">
        <v>135</v>
      </c>
      <c r="E35" s="183">
        <v>8000</v>
      </c>
      <c r="F35" s="178">
        <v>15</v>
      </c>
      <c r="G35" s="179">
        <v>0</v>
      </c>
      <c r="H35" s="177"/>
      <c r="I35" s="177"/>
      <c r="J35" s="177"/>
      <c r="K35" s="177"/>
      <c r="L35" s="177"/>
      <c r="M35" s="177"/>
      <c r="N35" s="177"/>
      <c r="O35" s="177"/>
      <c r="P35" s="177"/>
      <c r="Q35" s="177"/>
      <c r="R35" s="177"/>
      <c r="S35" s="177"/>
      <c r="T35" s="177"/>
      <c r="U35" s="177"/>
      <c r="V35" s="177"/>
      <c r="W35" s="1"/>
      <c r="X35" s="1"/>
      <c r="Y35" s="1"/>
      <c r="Z35" s="1"/>
      <c r="AA35" s="1"/>
      <c r="AB35" s="1"/>
      <c r="AC35" s="1"/>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row>
    <row r="36" spans="1:53">
      <c r="A36" s="177"/>
      <c r="B36" s="178" t="s">
        <v>134</v>
      </c>
      <c r="C36" s="178" t="s">
        <v>130</v>
      </c>
      <c r="D36" s="181">
        <v>135</v>
      </c>
      <c r="E36" s="183">
        <v>8000</v>
      </c>
      <c r="F36" s="178">
        <v>15</v>
      </c>
      <c r="G36" s="179">
        <v>0</v>
      </c>
      <c r="H36" s="177"/>
      <c r="I36" s="177"/>
      <c r="J36" s="177"/>
      <c r="K36" s="177"/>
      <c r="L36" s="177"/>
      <c r="M36" s="177"/>
      <c r="N36" s="177"/>
      <c r="O36" s="177"/>
      <c r="P36" s="177"/>
      <c r="Q36" s="177"/>
      <c r="R36" s="177"/>
      <c r="S36" s="177"/>
      <c r="T36" s="177"/>
      <c r="U36" s="177"/>
      <c r="V36" s="177"/>
      <c r="W36" s="1"/>
      <c r="X36" s="1"/>
      <c r="Y36" s="1"/>
      <c r="Z36" s="1"/>
      <c r="AA36" s="1"/>
      <c r="AB36" s="1"/>
      <c r="AC36" s="1"/>
      <c r="AD36" s="76"/>
      <c r="AE36" s="76"/>
      <c r="AF36" s="76"/>
      <c r="AG36" s="76"/>
      <c r="AH36" s="76"/>
      <c r="AI36" s="76"/>
      <c r="AJ36" s="76"/>
      <c r="AK36" s="76"/>
      <c r="AL36" s="76"/>
      <c r="AM36" s="76"/>
      <c r="AN36" s="76"/>
      <c r="AO36" s="76"/>
      <c r="AP36" s="76"/>
      <c r="AQ36" s="76"/>
      <c r="AR36" s="76"/>
      <c r="AS36" s="76"/>
      <c r="AT36" s="76"/>
      <c r="AU36" s="76"/>
      <c r="AV36" s="76"/>
      <c r="AW36" s="76"/>
      <c r="AX36" s="76"/>
      <c r="AY36" s="76"/>
      <c r="AZ36" s="76"/>
      <c r="BA36" s="76"/>
    </row>
    <row r="37" spans="1:53">
      <c r="A37" s="177"/>
      <c r="B37" s="178" t="s">
        <v>135</v>
      </c>
      <c r="C37" s="178" t="s">
        <v>130</v>
      </c>
      <c r="D37" s="181">
        <v>57.5</v>
      </c>
      <c r="E37" s="183">
        <v>4400</v>
      </c>
      <c r="F37" s="178">
        <v>10</v>
      </c>
      <c r="G37" s="179">
        <v>0</v>
      </c>
      <c r="H37" s="177"/>
      <c r="I37" s="177"/>
      <c r="J37" s="177"/>
      <c r="K37" s="177"/>
      <c r="L37" s="177"/>
      <c r="M37" s="177"/>
      <c r="N37" s="177"/>
      <c r="O37" s="177"/>
      <c r="P37" s="177"/>
      <c r="Q37" s="177"/>
      <c r="R37" s="177"/>
      <c r="S37" s="177"/>
      <c r="T37" s="177"/>
      <c r="U37" s="177"/>
      <c r="V37" s="177"/>
      <c r="W37" s="1"/>
      <c r="X37" s="1"/>
      <c r="Y37" s="1"/>
      <c r="Z37" s="1"/>
      <c r="AA37" s="1"/>
      <c r="AB37" s="1"/>
      <c r="AC37" s="1"/>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76"/>
    </row>
    <row r="38" spans="1:53">
      <c r="A38" s="177"/>
      <c r="B38" s="178" t="s">
        <v>136</v>
      </c>
      <c r="C38" s="178" t="s">
        <v>130</v>
      </c>
      <c r="D38" s="181">
        <v>57.5</v>
      </c>
      <c r="E38" s="183">
        <v>4400</v>
      </c>
      <c r="F38" s="178">
        <v>10</v>
      </c>
      <c r="G38" s="179">
        <v>0</v>
      </c>
      <c r="H38" s="177"/>
      <c r="I38" s="177"/>
      <c r="J38" s="177"/>
      <c r="K38" s="177"/>
      <c r="L38" s="177"/>
      <c r="M38" s="177"/>
      <c r="N38" s="177"/>
      <c r="O38" s="177"/>
      <c r="P38" s="177"/>
      <c r="Q38" s="177"/>
      <c r="R38" s="177"/>
      <c r="S38" s="177"/>
      <c r="T38" s="177"/>
      <c r="U38" s="177"/>
      <c r="V38" s="177"/>
      <c r="W38" s="1"/>
      <c r="X38" s="1"/>
      <c r="Y38" s="1"/>
      <c r="Z38" s="1"/>
      <c r="AA38" s="1"/>
      <c r="AB38" s="1"/>
      <c r="AC38" s="1"/>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row>
    <row r="39" spans="1:53">
      <c r="A39" s="177"/>
      <c r="B39" s="178" t="s">
        <v>137</v>
      </c>
      <c r="C39" s="178" t="s">
        <v>122</v>
      </c>
      <c r="D39" s="181">
        <v>57.5</v>
      </c>
      <c r="E39" s="183">
        <v>4400</v>
      </c>
      <c r="F39" s="178">
        <v>10</v>
      </c>
      <c r="G39" s="179">
        <v>0</v>
      </c>
      <c r="H39" s="177"/>
      <c r="I39" s="177"/>
      <c r="J39" s="177"/>
      <c r="K39" s="177"/>
      <c r="L39" s="177"/>
      <c r="M39" s="177"/>
      <c r="N39" s="177"/>
      <c r="O39" s="177"/>
      <c r="P39" s="177"/>
      <c r="Q39" s="177"/>
      <c r="R39" s="177"/>
      <c r="S39" s="177"/>
      <c r="T39" s="177"/>
      <c r="U39" s="177"/>
      <c r="V39" s="177"/>
      <c r="W39" s="1"/>
      <c r="X39" s="1"/>
      <c r="Y39" s="1"/>
      <c r="Z39" s="1"/>
      <c r="AA39" s="1"/>
      <c r="AB39" s="1"/>
      <c r="AC39" s="1"/>
      <c r="AD39" s="76"/>
      <c r="AE39" s="76"/>
      <c r="AF39" s="76"/>
      <c r="AG39" s="76"/>
      <c r="AH39" s="76"/>
      <c r="AI39" s="76"/>
      <c r="AJ39" s="76"/>
      <c r="AK39" s="76"/>
      <c r="AL39" s="76"/>
      <c r="AM39" s="76"/>
      <c r="AN39" s="76"/>
      <c r="AO39" s="76"/>
      <c r="AP39" s="76"/>
      <c r="AQ39" s="76"/>
      <c r="AR39" s="76"/>
      <c r="AS39" s="76"/>
      <c r="AT39" s="76"/>
      <c r="AU39" s="76"/>
      <c r="AV39" s="76"/>
      <c r="AW39" s="76"/>
      <c r="AX39" s="76"/>
      <c r="AY39" s="76"/>
      <c r="AZ39" s="76"/>
      <c r="BA39" s="76"/>
    </row>
    <row r="40" spans="1:53">
      <c r="A40" s="177"/>
      <c r="B40" s="178" t="s">
        <v>138</v>
      </c>
      <c r="C40" s="178" t="s">
        <v>122</v>
      </c>
      <c r="D40" s="181">
        <v>57.5</v>
      </c>
      <c r="E40" s="183">
        <v>4400</v>
      </c>
      <c r="F40" s="178">
        <v>10</v>
      </c>
      <c r="G40" s="179">
        <v>0</v>
      </c>
      <c r="H40" s="177"/>
      <c r="I40" s="177"/>
      <c r="J40" s="177"/>
      <c r="K40" s="177"/>
      <c r="L40" s="177"/>
      <c r="M40" s="177"/>
      <c r="N40" s="177"/>
      <c r="O40" s="177"/>
      <c r="P40" s="177"/>
      <c r="Q40" s="177"/>
      <c r="R40" s="177"/>
      <c r="S40" s="177"/>
      <c r="T40" s="177"/>
      <c r="U40" s="177"/>
      <c r="V40" s="177"/>
      <c r="W40" s="1"/>
      <c r="X40" s="1"/>
      <c r="Y40" s="1"/>
      <c r="Z40" s="1"/>
      <c r="AA40" s="1"/>
      <c r="AB40" s="1"/>
      <c r="AC40" s="1"/>
      <c r="AD40" s="76"/>
      <c r="AE40" s="76"/>
      <c r="AF40" s="76"/>
      <c r="AG40" s="76"/>
      <c r="AH40" s="76"/>
      <c r="AI40" s="76"/>
      <c r="AJ40" s="76"/>
      <c r="AK40" s="76"/>
      <c r="AL40" s="76"/>
      <c r="AM40" s="76"/>
      <c r="AN40" s="76"/>
      <c r="AO40" s="76"/>
      <c r="AP40" s="76"/>
      <c r="AQ40" s="76"/>
      <c r="AR40" s="76"/>
      <c r="AS40" s="76"/>
      <c r="AT40" s="76"/>
      <c r="AU40" s="76"/>
      <c r="AV40" s="76"/>
      <c r="AW40" s="76"/>
      <c r="AX40" s="76"/>
      <c r="AY40" s="76"/>
      <c r="AZ40" s="76"/>
      <c r="BA40" s="76"/>
    </row>
    <row r="41" spans="1:53">
      <c r="A41" s="177"/>
      <c r="B41" s="178" t="s">
        <v>139</v>
      </c>
      <c r="C41" s="178" t="s">
        <v>122</v>
      </c>
      <c r="D41" s="181">
        <v>65</v>
      </c>
      <c r="E41" s="183">
        <v>5500</v>
      </c>
      <c r="F41" s="178">
        <v>10</v>
      </c>
      <c r="G41" s="179">
        <v>0</v>
      </c>
      <c r="H41" s="177"/>
      <c r="I41" s="177"/>
      <c r="J41" s="177"/>
      <c r="K41" s="177"/>
      <c r="L41" s="177"/>
      <c r="M41" s="177"/>
      <c r="N41" s="177"/>
      <c r="O41" s="177"/>
      <c r="P41" s="177"/>
      <c r="Q41" s="177"/>
      <c r="R41" s="177"/>
      <c r="S41" s="177"/>
      <c r="T41" s="177"/>
      <c r="U41" s="177"/>
      <c r="V41" s="177"/>
      <c r="W41" s="1"/>
      <c r="X41" s="1"/>
      <c r="Y41" s="1"/>
      <c r="Z41" s="1"/>
      <c r="AA41" s="1"/>
      <c r="AB41" s="1"/>
      <c r="AC41" s="1"/>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row>
    <row r="42" spans="1:53">
      <c r="A42" s="177"/>
      <c r="B42" s="178" t="s">
        <v>140</v>
      </c>
      <c r="C42" s="178" t="s">
        <v>122</v>
      </c>
      <c r="D42" s="181">
        <v>57.5</v>
      </c>
      <c r="E42" s="183">
        <v>5000</v>
      </c>
      <c r="F42" s="178">
        <v>10</v>
      </c>
      <c r="G42" s="179">
        <v>0</v>
      </c>
      <c r="H42" s="177"/>
      <c r="I42" s="177"/>
      <c r="J42" s="177"/>
      <c r="K42" s="177"/>
      <c r="L42" s="177"/>
      <c r="M42" s="177"/>
      <c r="N42" s="177"/>
      <c r="O42" s="177"/>
      <c r="P42" s="177"/>
      <c r="Q42" s="177"/>
      <c r="R42" s="177"/>
      <c r="S42" s="177"/>
      <c r="T42" s="177"/>
      <c r="U42" s="177"/>
      <c r="V42" s="177"/>
      <c r="W42" s="1"/>
      <c r="X42" s="1"/>
      <c r="Y42" s="1"/>
      <c r="Z42" s="1"/>
      <c r="AA42" s="1"/>
      <c r="AB42" s="1"/>
      <c r="AC42" s="1"/>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row>
    <row r="43" spans="1:53">
      <c r="A43" s="177"/>
      <c r="B43" s="178" t="s">
        <v>141</v>
      </c>
      <c r="C43" s="178" t="s">
        <v>122</v>
      </c>
      <c r="D43" s="181">
        <v>65</v>
      </c>
      <c r="E43" s="183">
        <v>5500</v>
      </c>
      <c r="F43" s="178">
        <v>10</v>
      </c>
      <c r="G43" s="179">
        <v>0</v>
      </c>
      <c r="H43" s="177"/>
      <c r="I43" s="177"/>
      <c r="J43" s="177"/>
      <c r="K43" s="177"/>
      <c r="L43" s="177"/>
      <c r="M43" s="177"/>
      <c r="N43" s="177"/>
      <c r="O43" s="177"/>
      <c r="P43" s="177"/>
      <c r="Q43" s="177"/>
      <c r="R43" s="177"/>
      <c r="S43" s="177"/>
      <c r="T43" s="177"/>
      <c r="U43" s="177"/>
      <c r="V43" s="177"/>
      <c r="W43" s="1"/>
      <c r="X43" s="1"/>
      <c r="Y43" s="1"/>
      <c r="Z43" s="1"/>
      <c r="AA43" s="1"/>
      <c r="AB43" s="1"/>
      <c r="AC43" s="1"/>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row>
    <row r="44" spans="1:53">
      <c r="A44" s="177"/>
      <c r="B44" s="178" t="s">
        <v>143</v>
      </c>
      <c r="C44" s="178" t="s">
        <v>142</v>
      </c>
      <c r="D44" s="181">
        <v>80</v>
      </c>
      <c r="E44" s="183">
        <v>5500</v>
      </c>
      <c r="F44" s="178">
        <v>10</v>
      </c>
      <c r="G44" s="179">
        <v>0</v>
      </c>
      <c r="H44" s="177"/>
      <c r="I44" s="177"/>
      <c r="J44" s="177"/>
      <c r="K44" s="177"/>
      <c r="L44" s="177"/>
      <c r="M44" s="177"/>
      <c r="N44" s="177"/>
      <c r="O44" s="177"/>
      <c r="P44" s="177"/>
      <c r="Q44" s="177"/>
      <c r="R44" s="177"/>
      <c r="S44" s="177"/>
      <c r="T44" s="177"/>
      <c r="U44" s="177"/>
      <c r="V44" s="177"/>
      <c r="W44" s="1"/>
      <c r="X44" s="1"/>
      <c r="Y44" s="1"/>
      <c r="Z44" s="1"/>
      <c r="AA44" s="1"/>
      <c r="AB44" s="1"/>
      <c r="AC44" s="1"/>
      <c r="AD44" s="76"/>
      <c r="AE44" s="76"/>
      <c r="AF44" s="76"/>
      <c r="AG44" s="76"/>
      <c r="AH44" s="76"/>
      <c r="AI44" s="76"/>
      <c r="AJ44" s="76"/>
      <c r="AK44" s="76"/>
      <c r="AL44" s="76"/>
      <c r="AM44" s="76"/>
      <c r="AN44" s="76"/>
      <c r="AO44" s="76"/>
      <c r="AP44" s="76"/>
      <c r="AQ44" s="76"/>
      <c r="AR44" s="76"/>
      <c r="AS44" s="76"/>
      <c r="AT44" s="76"/>
      <c r="AU44" s="76"/>
      <c r="AV44" s="76"/>
      <c r="AW44" s="76"/>
      <c r="AX44" s="76"/>
      <c r="AY44" s="76"/>
      <c r="AZ44" s="76"/>
      <c r="BA44" s="76"/>
    </row>
    <row r="45" spans="1:53">
      <c r="A45" s="177"/>
      <c r="B45" s="178" t="s">
        <v>144</v>
      </c>
      <c r="C45" s="178" t="s">
        <v>142</v>
      </c>
      <c r="D45" s="181">
        <v>80</v>
      </c>
      <c r="E45" s="183">
        <v>5500</v>
      </c>
      <c r="F45" s="178">
        <v>10</v>
      </c>
      <c r="G45" s="179">
        <v>0</v>
      </c>
      <c r="H45" s="177"/>
      <c r="I45" s="177"/>
      <c r="J45" s="177"/>
      <c r="K45" s="177"/>
      <c r="L45" s="177"/>
      <c r="M45" s="177"/>
      <c r="N45" s="177"/>
      <c r="O45" s="177"/>
      <c r="P45" s="177"/>
      <c r="Q45" s="177"/>
      <c r="R45" s="177"/>
      <c r="S45" s="177"/>
      <c r="T45" s="177"/>
      <c r="U45" s="177"/>
      <c r="V45" s="177"/>
      <c r="W45" s="1"/>
      <c r="X45" s="1"/>
      <c r="Y45" s="1"/>
      <c r="Z45" s="1"/>
      <c r="AA45" s="1"/>
      <c r="AB45" s="1"/>
      <c r="AC45" s="1"/>
      <c r="AD45" s="76"/>
      <c r="AE45" s="76"/>
      <c r="AF45" s="76"/>
      <c r="AG45" s="76"/>
      <c r="AH45" s="76"/>
      <c r="AI45" s="76"/>
      <c r="AJ45" s="76"/>
      <c r="AK45" s="76"/>
      <c r="AL45" s="76"/>
      <c r="AM45" s="76"/>
      <c r="AN45" s="76"/>
      <c r="AO45" s="76"/>
      <c r="AP45" s="76"/>
      <c r="AQ45" s="76"/>
      <c r="AR45" s="76"/>
      <c r="AS45" s="76"/>
      <c r="AT45" s="76"/>
      <c r="AU45" s="76"/>
      <c r="AV45" s="76"/>
      <c r="AW45" s="76"/>
      <c r="AX45" s="76"/>
      <c r="AY45" s="76"/>
      <c r="AZ45" s="76"/>
      <c r="BA45" s="76"/>
    </row>
    <row r="46" spans="1:53">
      <c r="A46" s="177"/>
      <c r="B46" s="178" t="s">
        <v>145</v>
      </c>
      <c r="C46" s="178" t="s">
        <v>142</v>
      </c>
      <c r="D46" s="181">
        <v>80</v>
      </c>
      <c r="E46" s="183">
        <v>5500</v>
      </c>
      <c r="F46" s="178">
        <v>10</v>
      </c>
      <c r="G46" s="179">
        <v>0</v>
      </c>
      <c r="H46" s="177"/>
      <c r="I46" s="177"/>
      <c r="J46" s="177"/>
      <c r="K46" s="177"/>
      <c r="L46" s="177"/>
      <c r="M46" s="177"/>
      <c r="N46" s="177"/>
      <c r="O46" s="177"/>
      <c r="P46" s="177"/>
      <c r="Q46" s="177"/>
      <c r="R46" s="177"/>
      <c r="S46" s="177"/>
      <c r="T46" s="177"/>
      <c r="U46" s="177"/>
      <c r="V46" s="177"/>
      <c r="W46" s="1"/>
      <c r="X46" s="1"/>
      <c r="Y46" s="1"/>
      <c r="Z46" s="1"/>
      <c r="AA46" s="1"/>
      <c r="AB46" s="1"/>
      <c r="AC46" s="1"/>
      <c r="AD46" s="76"/>
      <c r="AE46" s="76"/>
      <c r="AF46" s="76"/>
      <c r="AG46" s="76"/>
      <c r="AH46" s="76"/>
      <c r="AI46" s="76"/>
      <c r="AJ46" s="76"/>
      <c r="AK46" s="76"/>
      <c r="AL46" s="76"/>
      <c r="AM46" s="76"/>
      <c r="AN46" s="76"/>
      <c r="AO46" s="76"/>
      <c r="AP46" s="76"/>
      <c r="AQ46" s="76"/>
      <c r="AR46" s="76"/>
      <c r="AS46" s="76"/>
      <c r="AT46" s="76"/>
      <c r="AU46" s="76"/>
      <c r="AV46" s="76"/>
      <c r="AW46" s="76"/>
      <c r="AX46" s="76"/>
      <c r="AY46" s="76"/>
      <c r="AZ46" s="76"/>
      <c r="BA46" s="76"/>
    </row>
    <row r="47" spans="1:53">
      <c r="A47" s="177"/>
      <c r="B47" s="178" t="s">
        <v>800</v>
      </c>
      <c r="C47" s="178" t="s">
        <v>142</v>
      </c>
      <c r="D47" s="181">
        <v>80</v>
      </c>
      <c r="E47" s="183">
        <v>5500</v>
      </c>
      <c r="F47" s="178">
        <v>10</v>
      </c>
      <c r="G47" s="179">
        <v>0</v>
      </c>
      <c r="H47" s="177"/>
      <c r="I47" s="177"/>
      <c r="J47" s="177"/>
      <c r="K47" s="177"/>
      <c r="L47" s="177"/>
      <c r="M47" s="177"/>
      <c r="N47" s="177"/>
      <c r="O47" s="177"/>
      <c r="P47" s="177"/>
      <c r="Q47" s="177"/>
      <c r="R47" s="177"/>
      <c r="S47" s="177"/>
      <c r="T47" s="177"/>
      <c r="U47" s="177"/>
      <c r="V47" s="177"/>
      <c r="W47" s="1"/>
      <c r="X47" s="1"/>
      <c r="Y47" s="1"/>
      <c r="Z47" s="1"/>
      <c r="AA47" s="1"/>
      <c r="AB47" s="1"/>
      <c r="AC47" s="1"/>
      <c r="AD47" s="76"/>
      <c r="AE47" s="76"/>
      <c r="AF47" s="76"/>
      <c r="AG47" s="76"/>
      <c r="AH47" s="76"/>
      <c r="AI47" s="76"/>
      <c r="AJ47" s="76"/>
      <c r="AK47" s="76"/>
      <c r="AL47" s="76"/>
      <c r="AM47" s="76"/>
      <c r="AN47" s="76"/>
      <c r="AO47" s="76"/>
      <c r="AP47" s="76"/>
      <c r="AQ47" s="76"/>
      <c r="AR47" s="76"/>
      <c r="AS47" s="76"/>
      <c r="AT47" s="76"/>
      <c r="AU47" s="76"/>
      <c r="AV47" s="76"/>
      <c r="AW47" s="76"/>
      <c r="AX47" s="76"/>
      <c r="AY47" s="76"/>
      <c r="AZ47" s="76"/>
      <c r="BA47" s="76"/>
    </row>
    <row r="48" spans="1:53">
      <c r="A48" s="177"/>
      <c r="B48" s="443" t="s">
        <v>146</v>
      </c>
      <c r="C48" s="178" t="s">
        <v>142</v>
      </c>
      <c r="D48" s="181">
        <v>40</v>
      </c>
      <c r="E48" s="183">
        <v>3000</v>
      </c>
      <c r="F48" s="574">
        <v>7</v>
      </c>
      <c r="G48" s="179">
        <v>0</v>
      </c>
      <c r="H48" s="177"/>
      <c r="I48" s="177"/>
      <c r="J48" s="177"/>
      <c r="K48" s="177"/>
      <c r="L48" s="177"/>
      <c r="M48" s="177"/>
      <c r="N48" s="177"/>
      <c r="O48" s="177"/>
      <c r="P48" s="177"/>
      <c r="Q48" s="177"/>
      <c r="R48" s="177"/>
      <c r="S48" s="177"/>
      <c r="T48" s="177"/>
      <c r="U48" s="177"/>
      <c r="V48" s="177"/>
      <c r="W48" s="1"/>
      <c r="X48" s="1"/>
      <c r="Y48" s="1"/>
      <c r="Z48" s="1"/>
      <c r="AA48" s="1"/>
      <c r="AB48" s="1"/>
      <c r="AC48" s="1"/>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row>
    <row r="49" spans="1:53">
      <c r="A49" s="177"/>
      <c r="B49" s="443" t="s">
        <v>147</v>
      </c>
      <c r="C49" s="178" t="s">
        <v>142</v>
      </c>
      <c r="D49" s="181">
        <v>100</v>
      </c>
      <c r="E49" s="183">
        <v>7500</v>
      </c>
      <c r="F49" s="574">
        <v>10</v>
      </c>
      <c r="G49" s="179">
        <v>0</v>
      </c>
      <c r="H49" s="177"/>
      <c r="I49" s="177"/>
      <c r="J49" s="177"/>
      <c r="K49" s="177"/>
      <c r="L49" s="177"/>
      <c r="M49" s="177"/>
      <c r="N49" s="177"/>
      <c r="O49" s="177"/>
      <c r="P49" s="177"/>
      <c r="Q49" s="177"/>
      <c r="R49" s="177"/>
      <c r="S49" s="177"/>
      <c r="T49" s="177"/>
      <c r="U49" s="177"/>
      <c r="V49" s="177"/>
      <c r="W49" s="1"/>
      <c r="X49" s="1"/>
      <c r="Y49" s="1"/>
      <c r="Z49" s="1"/>
      <c r="AA49" s="1"/>
      <c r="AB49" s="1"/>
      <c r="AC49" s="1"/>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row>
    <row r="50" spans="1:53">
      <c r="A50" s="177"/>
      <c r="B50" s="443" t="s">
        <v>148</v>
      </c>
      <c r="C50" s="178" t="s">
        <v>142</v>
      </c>
      <c r="D50" s="181">
        <v>100</v>
      </c>
      <c r="E50" s="183">
        <v>7500</v>
      </c>
      <c r="F50" s="574">
        <v>10</v>
      </c>
      <c r="G50" s="179">
        <v>0</v>
      </c>
      <c r="H50" s="177"/>
      <c r="I50" s="177"/>
      <c r="J50" s="177"/>
      <c r="K50" s="177"/>
      <c r="L50" s="177"/>
      <c r="M50" s="177"/>
      <c r="N50" s="177"/>
      <c r="O50" s="177"/>
      <c r="P50" s="177"/>
      <c r="Q50" s="177"/>
      <c r="R50" s="177"/>
      <c r="S50" s="177"/>
      <c r="T50" s="177"/>
      <c r="U50" s="177"/>
      <c r="V50" s="177"/>
      <c r="W50" s="1"/>
      <c r="X50" s="1"/>
      <c r="Y50" s="1"/>
      <c r="Z50" s="1"/>
      <c r="AA50" s="1"/>
      <c r="AB50" s="1"/>
      <c r="AC50" s="1"/>
      <c r="AD50" s="76"/>
      <c r="AE50" s="76"/>
      <c r="AF50" s="76"/>
      <c r="AG50" s="76"/>
      <c r="AH50" s="76"/>
      <c r="AI50" s="76"/>
      <c r="AJ50" s="76"/>
      <c r="AK50" s="76"/>
      <c r="AL50" s="76"/>
      <c r="AM50" s="76"/>
      <c r="AN50" s="76"/>
      <c r="AO50" s="76"/>
      <c r="AP50" s="76"/>
      <c r="AQ50" s="76"/>
      <c r="AR50" s="76"/>
      <c r="AS50" s="76"/>
      <c r="AT50" s="76"/>
      <c r="AU50" s="76"/>
      <c r="AV50" s="76"/>
      <c r="AW50" s="76"/>
      <c r="AX50" s="76"/>
      <c r="AY50" s="76"/>
      <c r="AZ50" s="76"/>
      <c r="BA50" s="76"/>
    </row>
    <row r="51" spans="1:53">
      <c r="A51" s="177"/>
      <c r="B51" s="443" t="s">
        <v>149</v>
      </c>
      <c r="C51" s="178" t="s">
        <v>142</v>
      </c>
      <c r="D51" s="181">
        <v>80</v>
      </c>
      <c r="E51" s="183">
        <v>7500</v>
      </c>
      <c r="F51" s="574">
        <v>10</v>
      </c>
      <c r="G51" s="179">
        <v>0</v>
      </c>
      <c r="H51" s="177"/>
      <c r="I51" s="177"/>
      <c r="J51" s="177"/>
      <c r="K51" s="177"/>
      <c r="L51" s="177"/>
      <c r="M51" s="177"/>
      <c r="N51" s="177"/>
      <c r="O51" s="177"/>
      <c r="P51" s="177"/>
      <c r="Q51" s="177"/>
      <c r="R51" s="177"/>
      <c r="S51" s="177"/>
      <c r="T51" s="177"/>
      <c r="U51" s="177"/>
      <c r="V51" s="177"/>
      <c r="W51" s="1"/>
      <c r="X51" s="1"/>
      <c r="Y51" s="1"/>
      <c r="Z51" s="1"/>
      <c r="AA51" s="1"/>
      <c r="AB51" s="1"/>
      <c r="AC51" s="1"/>
      <c r="AD51" s="76"/>
      <c r="AE51" s="76"/>
      <c r="AF51" s="76"/>
      <c r="AG51" s="76"/>
      <c r="AH51" s="76"/>
      <c r="AI51" s="76"/>
      <c r="AJ51" s="76"/>
      <c r="AK51" s="76"/>
      <c r="AL51" s="76"/>
      <c r="AM51" s="76"/>
      <c r="AN51" s="76"/>
      <c r="AO51" s="76"/>
      <c r="AP51" s="76"/>
      <c r="AQ51" s="76"/>
      <c r="AR51" s="76"/>
      <c r="AS51" s="76"/>
      <c r="AT51" s="76"/>
      <c r="AU51" s="76"/>
      <c r="AV51" s="76"/>
      <c r="AW51" s="76"/>
      <c r="AX51" s="76"/>
      <c r="AY51" s="76"/>
      <c r="AZ51" s="76"/>
      <c r="BA51" s="76"/>
    </row>
    <row r="52" spans="1:53">
      <c r="A52" s="177"/>
      <c r="B52" s="443" t="s">
        <v>150</v>
      </c>
      <c r="C52" s="178" t="s">
        <v>142</v>
      </c>
      <c r="D52" s="181">
        <v>57.5</v>
      </c>
      <c r="E52" s="183">
        <v>4400</v>
      </c>
      <c r="F52" s="574">
        <v>10</v>
      </c>
      <c r="G52" s="179">
        <v>0</v>
      </c>
      <c r="H52" s="177"/>
      <c r="I52" s="177"/>
      <c r="J52" s="177"/>
      <c r="K52" s="177"/>
      <c r="L52" s="177"/>
      <c r="M52" s="177"/>
      <c r="N52" s="177"/>
      <c r="O52" s="177"/>
      <c r="P52" s="177"/>
      <c r="Q52" s="177"/>
      <c r="R52" s="177"/>
      <c r="S52" s="177"/>
      <c r="T52" s="177"/>
      <c r="U52" s="177"/>
      <c r="V52" s="177"/>
      <c r="W52" s="1"/>
      <c r="X52" s="1"/>
      <c r="Y52" s="1"/>
      <c r="Z52" s="1"/>
      <c r="AA52" s="1"/>
      <c r="AB52" s="1"/>
      <c r="AC52" s="1"/>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row>
    <row r="53" spans="1:53">
      <c r="A53" s="177"/>
      <c r="B53" s="443" t="s">
        <v>151</v>
      </c>
      <c r="C53" s="178" t="s">
        <v>142</v>
      </c>
      <c r="D53" s="181">
        <v>57.5</v>
      </c>
      <c r="E53" s="183">
        <v>4400</v>
      </c>
      <c r="F53" s="574">
        <v>10</v>
      </c>
      <c r="G53" s="179">
        <v>0</v>
      </c>
      <c r="H53" s="177"/>
      <c r="I53" s="177"/>
      <c r="J53" s="177"/>
      <c r="K53" s="177"/>
      <c r="L53" s="177"/>
      <c r="M53" s="177"/>
      <c r="N53" s="177"/>
      <c r="O53" s="177"/>
      <c r="P53" s="177"/>
      <c r="Q53" s="177"/>
      <c r="R53" s="177"/>
      <c r="S53" s="177"/>
      <c r="T53" s="177"/>
      <c r="U53" s="177"/>
      <c r="V53" s="177"/>
      <c r="W53" s="1"/>
      <c r="X53" s="1"/>
      <c r="Y53" s="1"/>
      <c r="Z53" s="1"/>
      <c r="AA53" s="1"/>
      <c r="AB53" s="1"/>
      <c r="AC53" s="1"/>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row>
    <row r="54" spans="1:53">
      <c r="A54" s="177"/>
      <c r="B54" s="443" t="s">
        <v>535</v>
      </c>
      <c r="C54" s="178" t="s">
        <v>122</v>
      </c>
      <c r="D54" s="181">
        <v>46.5</v>
      </c>
      <c r="E54" s="183">
        <v>3600</v>
      </c>
      <c r="F54" s="574">
        <v>7</v>
      </c>
      <c r="G54" s="179">
        <v>0</v>
      </c>
      <c r="H54" s="177"/>
      <c r="I54" s="177"/>
      <c r="J54" s="177"/>
      <c r="K54" s="177"/>
      <c r="L54" s="177"/>
      <c r="M54" s="177"/>
      <c r="N54" s="177"/>
      <c r="O54" s="177"/>
      <c r="P54" s="177"/>
      <c r="Q54" s="177"/>
      <c r="R54" s="177"/>
      <c r="S54" s="177"/>
      <c r="T54" s="177"/>
      <c r="U54" s="177"/>
      <c r="V54" s="177"/>
      <c r="W54" s="1"/>
      <c r="X54" s="1"/>
      <c r="Y54" s="1"/>
      <c r="Z54" s="1"/>
      <c r="AA54" s="1"/>
      <c r="AB54" s="1"/>
      <c r="AC54" s="1"/>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row>
    <row r="55" spans="1:53">
      <c r="A55" s="177"/>
      <c r="B55" s="443" t="s">
        <v>152</v>
      </c>
      <c r="C55" s="178" t="s">
        <v>142</v>
      </c>
      <c r="D55" s="181">
        <v>80</v>
      </c>
      <c r="E55" s="183">
        <v>7500</v>
      </c>
      <c r="F55" s="574">
        <v>10</v>
      </c>
      <c r="G55" s="179">
        <v>0</v>
      </c>
      <c r="H55" s="177"/>
      <c r="I55" s="177"/>
      <c r="J55" s="177"/>
      <c r="K55" s="177"/>
      <c r="L55" s="177"/>
      <c r="M55" s="177"/>
      <c r="N55" s="177"/>
      <c r="O55" s="177"/>
      <c r="P55" s="177"/>
      <c r="Q55" s="177"/>
      <c r="R55" s="177"/>
      <c r="S55" s="177"/>
      <c r="T55" s="177"/>
      <c r="U55" s="177"/>
      <c r="V55" s="177"/>
      <c r="W55" s="1"/>
      <c r="X55" s="1"/>
      <c r="Y55" s="1"/>
      <c r="Z55" s="1"/>
      <c r="AA55" s="1"/>
      <c r="AB55" s="1"/>
      <c r="AC55" s="1"/>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row>
    <row r="56" spans="1:53">
      <c r="A56" s="177"/>
      <c r="B56" s="443" t="s">
        <v>153</v>
      </c>
      <c r="C56" s="178" t="s">
        <v>142</v>
      </c>
      <c r="D56" s="181">
        <v>80</v>
      </c>
      <c r="E56" s="183">
        <v>7500</v>
      </c>
      <c r="F56" s="574">
        <v>10</v>
      </c>
      <c r="G56" s="179">
        <v>0</v>
      </c>
      <c r="H56" s="177"/>
      <c r="I56" s="177"/>
      <c r="J56" s="177"/>
      <c r="K56" s="177"/>
      <c r="L56" s="177"/>
      <c r="M56" s="177"/>
      <c r="N56" s="177"/>
      <c r="O56" s="177"/>
      <c r="P56" s="177"/>
      <c r="Q56" s="177"/>
      <c r="R56" s="177"/>
      <c r="S56" s="177"/>
      <c r="T56" s="177"/>
      <c r="U56" s="177"/>
      <c r="V56" s="177"/>
      <c r="W56" s="1"/>
      <c r="X56" s="1"/>
      <c r="Y56" s="1"/>
      <c r="Z56" s="1"/>
      <c r="AA56" s="1"/>
      <c r="AB56" s="1"/>
      <c r="AC56" s="1"/>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row>
    <row r="57" spans="1:53">
      <c r="A57" s="177"/>
      <c r="B57" s="443" t="s">
        <v>154</v>
      </c>
      <c r="C57" s="178" t="s">
        <v>142</v>
      </c>
      <c r="D57" s="181">
        <v>80</v>
      </c>
      <c r="E57" s="183">
        <v>7500</v>
      </c>
      <c r="F57" s="574">
        <v>10</v>
      </c>
      <c r="G57" s="179">
        <v>0</v>
      </c>
      <c r="H57" s="177"/>
      <c r="I57" s="177"/>
      <c r="J57" s="177"/>
      <c r="K57" s="177"/>
      <c r="L57" s="177"/>
      <c r="M57" s="177"/>
      <c r="N57" s="177"/>
      <c r="O57" s="177"/>
      <c r="P57" s="177"/>
      <c r="Q57" s="177"/>
      <c r="R57" s="177"/>
      <c r="S57" s="177"/>
      <c r="T57" s="177"/>
      <c r="U57" s="177"/>
      <c r="V57" s="177"/>
      <c r="W57" s="1"/>
      <c r="X57" s="1"/>
      <c r="Y57" s="1"/>
      <c r="Z57" s="1"/>
      <c r="AA57" s="1"/>
      <c r="AB57" s="1"/>
      <c r="AC57" s="1"/>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row>
    <row r="58" spans="1:53">
      <c r="A58" s="177"/>
      <c r="B58" s="443" t="s">
        <v>535</v>
      </c>
      <c r="C58" s="178" t="s">
        <v>122</v>
      </c>
      <c r="D58" s="181">
        <v>46.5</v>
      </c>
      <c r="E58" s="183">
        <v>3600</v>
      </c>
      <c r="F58" s="574">
        <v>7</v>
      </c>
      <c r="G58" s="179">
        <v>0</v>
      </c>
      <c r="H58" s="177"/>
      <c r="I58" s="177"/>
      <c r="J58" s="177"/>
      <c r="K58" s="177"/>
      <c r="L58" s="177"/>
      <c r="M58" s="177"/>
      <c r="N58" s="177"/>
      <c r="O58" s="177"/>
      <c r="P58" s="177"/>
      <c r="Q58" s="177"/>
      <c r="R58" s="177"/>
      <c r="S58" s="177"/>
      <c r="T58" s="177"/>
      <c r="U58" s="177"/>
      <c r="V58" s="177"/>
      <c r="W58" s="1"/>
      <c r="X58" s="1"/>
      <c r="Y58" s="1"/>
      <c r="Z58" s="1"/>
      <c r="AA58" s="1"/>
      <c r="AB58" s="1"/>
      <c r="AC58" s="1"/>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row>
    <row r="59" spans="1:53">
      <c r="A59" s="177"/>
      <c r="B59" s="443" t="s">
        <v>536</v>
      </c>
      <c r="C59" s="178" t="s">
        <v>122</v>
      </c>
      <c r="D59" s="181">
        <v>46.5</v>
      </c>
      <c r="E59" s="183">
        <v>3600</v>
      </c>
      <c r="F59" s="574">
        <v>7</v>
      </c>
      <c r="G59" s="179">
        <v>0</v>
      </c>
      <c r="H59" s="177"/>
      <c r="I59" s="177"/>
      <c r="J59" s="177"/>
      <c r="K59" s="177"/>
      <c r="L59" s="177"/>
      <c r="M59" s="177"/>
      <c r="N59" s="177"/>
      <c r="O59" s="177"/>
      <c r="P59" s="177"/>
      <c r="Q59" s="177"/>
      <c r="R59" s="177"/>
      <c r="S59" s="177"/>
      <c r="T59" s="177"/>
      <c r="U59" s="177"/>
      <c r="V59" s="177"/>
      <c r="W59" s="1"/>
      <c r="X59" s="1"/>
      <c r="Y59" s="1"/>
      <c r="Z59" s="1"/>
      <c r="AA59" s="1"/>
      <c r="AB59" s="1"/>
      <c r="AC59" s="1"/>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row>
    <row r="60" spans="1:53">
      <c r="A60" s="177"/>
      <c r="B60" s="306" t="s">
        <v>655</v>
      </c>
      <c r="C60" s="307" t="s">
        <v>654</v>
      </c>
      <c r="D60" s="308">
        <v>14</v>
      </c>
      <c r="E60" s="316">
        <v>2500</v>
      </c>
      <c r="F60" s="309">
        <v>1</v>
      </c>
      <c r="G60" s="179">
        <v>0</v>
      </c>
      <c r="H60" s="177"/>
      <c r="I60" s="177"/>
      <c r="J60" s="177"/>
      <c r="K60" s="177"/>
      <c r="L60" s="177"/>
      <c r="M60" s="177"/>
      <c r="N60" s="177"/>
      <c r="O60" s="177"/>
      <c r="P60" s="177"/>
      <c r="Q60" s="177"/>
      <c r="R60" s="177"/>
      <c r="S60" s="177"/>
      <c r="T60" s="177"/>
      <c r="U60" s="177"/>
      <c r="V60" s="177"/>
      <c r="W60" s="1"/>
      <c r="X60" s="1"/>
      <c r="Y60" s="1"/>
      <c r="Z60" s="1"/>
      <c r="AA60" s="1"/>
      <c r="AB60" s="1"/>
      <c r="AC60" s="1"/>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row>
    <row r="61" spans="1:53">
      <c r="A61" s="177"/>
      <c r="B61" s="306" t="s">
        <v>656</v>
      </c>
      <c r="C61" s="307" t="s">
        <v>654</v>
      </c>
      <c r="D61" s="308">
        <v>14</v>
      </c>
      <c r="E61" s="316">
        <v>2500</v>
      </c>
      <c r="F61" s="309">
        <v>1</v>
      </c>
      <c r="G61" s="179">
        <v>0</v>
      </c>
      <c r="H61" s="177"/>
      <c r="I61" s="177"/>
      <c r="J61" s="177"/>
      <c r="K61" s="177"/>
      <c r="L61" s="177"/>
      <c r="M61" s="177"/>
      <c r="N61" s="177"/>
      <c r="O61" s="177"/>
      <c r="P61" s="177"/>
      <c r="Q61" s="177"/>
      <c r="R61" s="177"/>
      <c r="S61" s="177"/>
      <c r="T61" s="177"/>
      <c r="U61" s="177"/>
      <c r="V61" s="177"/>
      <c r="W61" s="1"/>
      <c r="X61" s="1"/>
      <c r="Y61" s="1"/>
      <c r="Z61" s="1"/>
      <c r="AA61" s="1"/>
      <c r="AB61" s="1"/>
      <c r="AC61" s="1"/>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row>
    <row r="62" spans="1:53">
      <c r="A62" s="177"/>
      <c r="B62" s="306" t="s">
        <v>657</v>
      </c>
      <c r="C62" s="307" t="s">
        <v>654</v>
      </c>
      <c r="D62" s="308">
        <v>28</v>
      </c>
      <c r="E62" s="316">
        <v>4000</v>
      </c>
      <c r="F62" s="309">
        <v>2</v>
      </c>
      <c r="G62" s="179">
        <v>0</v>
      </c>
      <c r="H62" s="177"/>
      <c r="I62" s="177"/>
      <c r="J62" s="177"/>
      <c r="K62" s="177"/>
      <c r="L62" s="177"/>
      <c r="M62" s="177"/>
      <c r="N62" s="177"/>
      <c r="O62" s="177"/>
      <c r="P62" s="177"/>
      <c r="Q62" s="177"/>
      <c r="R62" s="177"/>
      <c r="S62" s="177"/>
      <c r="T62" s="177"/>
      <c r="U62" s="177"/>
      <c r="V62" s="177"/>
      <c r="W62" s="1"/>
      <c r="X62" s="1"/>
      <c r="Y62" s="1"/>
      <c r="Z62" s="1"/>
      <c r="AA62" s="1"/>
      <c r="AB62" s="1"/>
      <c r="AC62" s="1"/>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row>
    <row r="63" spans="1:53">
      <c r="A63" s="177"/>
      <c r="B63" s="306" t="s">
        <v>658</v>
      </c>
      <c r="C63" s="307" t="s">
        <v>654</v>
      </c>
      <c r="D63" s="308">
        <v>28</v>
      </c>
      <c r="E63" s="316">
        <v>4000</v>
      </c>
      <c r="F63" s="309">
        <v>2</v>
      </c>
      <c r="G63" s="179">
        <v>0</v>
      </c>
      <c r="H63" s="177"/>
      <c r="I63" s="177"/>
      <c r="J63" s="177"/>
      <c r="K63" s="177"/>
      <c r="L63" s="177"/>
      <c r="M63" s="177"/>
      <c r="N63" s="177"/>
      <c r="O63" s="177"/>
      <c r="P63" s="177"/>
      <c r="Q63" s="177"/>
      <c r="R63" s="177"/>
      <c r="S63" s="177"/>
      <c r="T63" s="177"/>
      <c r="U63" s="177"/>
      <c r="V63" s="177"/>
      <c r="W63" s="1"/>
      <c r="X63" s="1"/>
      <c r="Y63" s="1"/>
      <c r="Z63" s="1"/>
      <c r="AA63" s="1"/>
      <c r="AB63" s="1"/>
      <c r="AC63" s="1"/>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row>
    <row r="64" spans="1:53">
      <c r="A64" s="177"/>
      <c r="B64" s="306" t="s">
        <v>659</v>
      </c>
      <c r="C64" s="307" t="s">
        <v>654</v>
      </c>
      <c r="D64" s="308">
        <v>28</v>
      </c>
      <c r="E64" s="316">
        <v>4000</v>
      </c>
      <c r="F64" s="309">
        <v>2</v>
      </c>
      <c r="G64" s="179">
        <v>0</v>
      </c>
      <c r="H64" s="177"/>
      <c r="I64" s="177"/>
      <c r="J64" s="177"/>
      <c r="K64" s="177"/>
      <c r="L64" s="177"/>
      <c r="M64" s="177"/>
      <c r="N64" s="177"/>
      <c r="O64" s="177"/>
      <c r="P64" s="177"/>
      <c r="Q64" s="177"/>
      <c r="R64" s="177"/>
      <c r="S64" s="177"/>
      <c r="T64" s="177"/>
      <c r="U64" s="177"/>
      <c r="V64" s="177"/>
      <c r="W64" s="1"/>
      <c r="X64" s="1"/>
      <c r="Y64" s="1"/>
      <c r="Z64" s="1"/>
      <c r="AA64" s="1"/>
      <c r="AB64" s="1"/>
      <c r="AC64" s="1"/>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row>
    <row r="65" spans="1:53">
      <c r="A65" s="177"/>
      <c r="B65" s="306" t="s">
        <v>660</v>
      </c>
      <c r="C65" s="307" t="s">
        <v>654</v>
      </c>
      <c r="D65" s="308">
        <v>28</v>
      </c>
      <c r="E65" s="316">
        <v>4000</v>
      </c>
      <c r="F65" s="309">
        <v>2</v>
      </c>
      <c r="G65" s="179">
        <v>0</v>
      </c>
      <c r="H65" s="177"/>
      <c r="I65" s="177"/>
      <c r="J65" s="177"/>
      <c r="K65" s="177"/>
      <c r="L65" s="177"/>
      <c r="M65" s="177"/>
      <c r="N65" s="177"/>
      <c r="O65" s="177"/>
      <c r="P65" s="177"/>
      <c r="Q65" s="177"/>
      <c r="R65" s="177"/>
      <c r="S65" s="177"/>
      <c r="T65" s="177"/>
      <c r="U65" s="177"/>
      <c r="V65" s="177"/>
      <c r="W65" s="1"/>
      <c r="X65" s="1"/>
      <c r="Y65" s="1"/>
      <c r="Z65" s="1"/>
      <c r="AA65" s="1"/>
      <c r="AB65" s="1"/>
      <c r="AC65" s="1"/>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row>
    <row r="66" spans="1:53">
      <c r="A66" s="177"/>
      <c r="B66" s="306" t="s">
        <v>661</v>
      </c>
      <c r="C66" s="307" t="s">
        <v>654</v>
      </c>
      <c r="D66" s="308">
        <v>28</v>
      </c>
      <c r="E66" s="316">
        <v>4000</v>
      </c>
      <c r="F66" s="309">
        <v>2</v>
      </c>
      <c r="G66" s="179">
        <v>0</v>
      </c>
      <c r="H66" s="177"/>
      <c r="I66" s="177"/>
      <c r="J66" s="177"/>
      <c r="K66" s="177"/>
      <c r="L66" s="177"/>
      <c r="M66" s="177"/>
      <c r="N66" s="177"/>
      <c r="O66" s="177"/>
      <c r="P66" s="177"/>
      <c r="Q66" s="177"/>
      <c r="R66" s="177"/>
      <c r="S66" s="177"/>
      <c r="T66" s="177"/>
      <c r="U66" s="177"/>
      <c r="V66" s="177"/>
      <c r="W66" s="1"/>
      <c r="X66" s="1"/>
      <c r="Y66" s="1"/>
      <c r="Z66" s="1"/>
      <c r="AA66" s="1"/>
      <c r="AB66" s="1"/>
      <c r="AC66" s="1"/>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row>
    <row r="67" spans="1:53">
      <c r="A67" s="177"/>
      <c r="B67" s="306" t="s">
        <v>662</v>
      </c>
      <c r="C67" s="307" t="s">
        <v>654</v>
      </c>
      <c r="D67" s="308">
        <v>28</v>
      </c>
      <c r="E67" s="316">
        <v>4000</v>
      </c>
      <c r="F67" s="309">
        <v>2</v>
      </c>
      <c r="G67" s="179">
        <v>0</v>
      </c>
      <c r="H67" s="177"/>
      <c r="I67" s="177"/>
      <c r="J67" s="177"/>
      <c r="K67" s="177"/>
      <c r="L67" s="177"/>
      <c r="M67" s="177"/>
      <c r="N67" s="177"/>
      <c r="O67" s="177"/>
      <c r="P67" s="177"/>
      <c r="Q67" s="177"/>
      <c r="R67" s="177"/>
      <c r="S67" s="177"/>
      <c r="T67" s="177"/>
      <c r="U67" s="177"/>
      <c r="V67" s="177"/>
      <c r="W67" s="1"/>
      <c r="X67" s="1"/>
      <c r="Y67" s="1"/>
      <c r="Z67" s="1"/>
      <c r="AA67" s="1"/>
      <c r="AB67" s="1"/>
      <c r="AC67" s="1"/>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row>
    <row r="68" spans="1:53">
      <c r="A68" s="177"/>
      <c r="B68" s="306" t="s">
        <v>663</v>
      </c>
      <c r="C68" s="307" t="s">
        <v>654</v>
      </c>
      <c r="D68" s="308">
        <v>28</v>
      </c>
      <c r="E68" s="316">
        <v>4000</v>
      </c>
      <c r="F68" s="309">
        <v>2</v>
      </c>
      <c r="G68" s="179">
        <v>0</v>
      </c>
      <c r="H68" s="177"/>
      <c r="I68" s="177"/>
      <c r="J68" s="177"/>
      <c r="K68" s="177"/>
      <c r="L68" s="177"/>
      <c r="M68" s="177"/>
      <c r="N68" s="177"/>
      <c r="O68" s="177"/>
      <c r="P68" s="177"/>
      <c r="Q68" s="177"/>
      <c r="R68" s="177"/>
      <c r="S68" s="177"/>
      <c r="T68" s="177"/>
      <c r="U68" s="177"/>
      <c r="V68" s="177"/>
      <c r="W68" s="1"/>
      <c r="X68" s="1"/>
      <c r="Y68" s="1"/>
      <c r="Z68" s="1"/>
      <c r="AA68" s="1"/>
      <c r="AB68" s="1"/>
      <c r="AC68" s="1"/>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row>
    <row r="69" spans="1:53">
      <c r="A69" s="1"/>
      <c r="B69" s="306" t="s">
        <v>664</v>
      </c>
      <c r="C69" s="307" t="s">
        <v>654</v>
      </c>
      <c r="D69" s="308">
        <v>28</v>
      </c>
      <c r="E69" s="316">
        <v>4000</v>
      </c>
      <c r="F69" s="309">
        <v>2</v>
      </c>
      <c r="G69" s="179">
        <v>0</v>
      </c>
      <c r="H69" s="1"/>
      <c r="I69" s="1"/>
      <c r="J69" s="1"/>
      <c r="K69" s="1"/>
      <c r="L69" s="1"/>
      <c r="M69" s="1"/>
      <c r="N69" s="1"/>
      <c r="O69" s="1"/>
      <c r="P69" s="1"/>
      <c r="Q69" s="1"/>
      <c r="R69" s="1"/>
      <c r="S69" s="1"/>
      <c r="T69" s="1"/>
      <c r="U69" s="1"/>
      <c r="V69" s="1"/>
      <c r="W69" s="1"/>
      <c r="X69" s="1"/>
      <c r="Y69" s="1"/>
      <c r="Z69" s="1"/>
      <c r="AA69" s="1"/>
      <c r="AB69" s="1"/>
      <c r="AC69" s="1"/>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row>
    <row r="70" spans="1:53">
      <c r="A70" s="1"/>
      <c r="B70" s="306" t="s">
        <v>665</v>
      </c>
      <c r="C70" s="307" t="s">
        <v>654</v>
      </c>
      <c r="D70" s="308">
        <v>28</v>
      </c>
      <c r="E70" s="316">
        <v>4000</v>
      </c>
      <c r="F70" s="309">
        <v>2</v>
      </c>
      <c r="G70" s="179">
        <v>0</v>
      </c>
      <c r="H70" s="1"/>
      <c r="I70" s="1"/>
      <c r="J70" s="1"/>
      <c r="K70" s="1"/>
      <c r="L70" s="1"/>
      <c r="M70" s="1"/>
      <c r="N70" s="1"/>
      <c r="O70" s="1"/>
      <c r="P70" s="1"/>
      <c r="Q70" s="1"/>
      <c r="R70" s="1"/>
      <c r="S70" s="1"/>
      <c r="T70" s="1"/>
      <c r="U70" s="1"/>
      <c r="V70" s="1"/>
      <c r="W70" s="1"/>
      <c r="X70" s="1"/>
      <c r="Y70" s="1"/>
      <c r="Z70" s="1"/>
      <c r="AA70" s="1"/>
      <c r="AB70" s="1"/>
      <c r="AC70" s="1"/>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row>
    <row r="71" spans="1:53">
      <c r="A71" s="1"/>
      <c r="B71" s="306" t="s">
        <v>666</v>
      </c>
      <c r="C71" s="307" t="s">
        <v>654</v>
      </c>
      <c r="D71" s="308">
        <v>28</v>
      </c>
      <c r="E71" s="316">
        <v>4000</v>
      </c>
      <c r="F71" s="309">
        <v>2</v>
      </c>
      <c r="G71" s="179">
        <v>0</v>
      </c>
      <c r="H71" s="1"/>
      <c r="I71" s="1"/>
      <c r="J71" s="1"/>
      <c r="K71" s="1"/>
      <c r="L71" s="1"/>
      <c r="M71" s="1"/>
      <c r="N71" s="1"/>
      <c r="O71" s="1"/>
      <c r="P71" s="1"/>
      <c r="Q71" s="1"/>
      <c r="R71" s="1"/>
      <c r="S71" s="1"/>
      <c r="T71" s="1"/>
      <c r="U71" s="1"/>
      <c r="V71" s="1"/>
      <c r="W71" s="1"/>
      <c r="X71" s="1"/>
      <c r="Y71" s="1"/>
      <c r="Z71" s="1"/>
      <c r="AA71" s="1"/>
      <c r="AB71" s="1"/>
      <c r="AC71" s="1"/>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row>
    <row r="72" spans="1:53">
      <c r="A72" s="1"/>
      <c r="B72" s="306" t="s">
        <v>667</v>
      </c>
      <c r="C72" s="307" t="s">
        <v>654</v>
      </c>
      <c r="D72" s="308">
        <v>28</v>
      </c>
      <c r="E72" s="316">
        <v>4000</v>
      </c>
      <c r="F72" s="309">
        <v>2</v>
      </c>
      <c r="G72" s="179">
        <v>0</v>
      </c>
      <c r="H72" s="1"/>
      <c r="I72" s="1"/>
      <c r="J72" s="1"/>
      <c r="K72" s="1"/>
      <c r="L72" s="1"/>
      <c r="M72" s="1"/>
      <c r="N72" s="1"/>
      <c r="O72" s="1"/>
      <c r="P72" s="1"/>
      <c r="Q72" s="1"/>
      <c r="R72" s="1"/>
      <c r="S72" s="1"/>
      <c r="T72" s="1"/>
      <c r="U72" s="1"/>
      <c r="V72" s="1"/>
      <c r="W72" s="1"/>
      <c r="X72" s="1"/>
      <c r="Y72" s="1"/>
      <c r="Z72" s="1"/>
      <c r="AA72" s="1"/>
      <c r="AB72" s="1"/>
      <c r="AC72" s="1"/>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row>
    <row r="73" spans="1:53">
      <c r="A73" s="1"/>
      <c r="B73" s="306" t="s">
        <v>668</v>
      </c>
      <c r="C73" s="307" t="s">
        <v>654</v>
      </c>
      <c r="D73" s="308">
        <v>28</v>
      </c>
      <c r="E73" s="316">
        <v>4000</v>
      </c>
      <c r="F73" s="309">
        <v>2</v>
      </c>
      <c r="G73" s="179">
        <v>0</v>
      </c>
      <c r="H73" s="1"/>
      <c r="I73" s="1"/>
      <c r="J73" s="1"/>
      <c r="K73" s="1"/>
      <c r="L73" s="1"/>
      <c r="M73" s="1"/>
      <c r="N73" s="1"/>
      <c r="O73" s="1"/>
      <c r="P73" s="1"/>
      <c r="Q73" s="1"/>
      <c r="R73" s="1"/>
      <c r="S73" s="1"/>
      <c r="T73" s="1"/>
      <c r="U73" s="1"/>
      <c r="V73" s="1"/>
      <c r="W73" s="1"/>
      <c r="X73" s="1"/>
      <c r="Y73" s="1"/>
      <c r="Z73" s="1"/>
      <c r="AA73" s="1"/>
      <c r="AB73" s="1"/>
      <c r="AC73" s="1"/>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row>
    <row r="74" spans="1:53">
      <c r="A74" s="1"/>
      <c r="B74" s="306" t="s">
        <v>669</v>
      </c>
      <c r="C74" s="307" t="s">
        <v>654</v>
      </c>
      <c r="D74" s="308">
        <v>56</v>
      </c>
      <c r="E74" s="316">
        <v>8000</v>
      </c>
      <c r="F74" s="309">
        <v>4</v>
      </c>
      <c r="G74" s="179">
        <v>0</v>
      </c>
      <c r="H74" s="1"/>
      <c r="I74" s="1"/>
      <c r="J74" s="1"/>
      <c r="K74" s="1"/>
      <c r="L74" s="1"/>
      <c r="M74" s="1"/>
      <c r="N74" s="1"/>
      <c r="O74" s="1"/>
      <c r="P74" s="1"/>
      <c r="Q74" s="1"/>
      <c r="R74" s="1"/>
      <c r="S74" s="1"/>
      <c r="T74" s="1"/>
      <c r="U74" s="1"/>
      <c r="V74" s="1"/>
      <c r="W74" s="1"/>
      <c r="X74" s="1"/>
      <c r="Y74" s="1"/>
      <c r="Z74" s="1"/>
      <c r="AA74" s="1"/>
      <c r="AB74" s="1"/>
      <c r="AC74" s="1"/>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row>
    <row r="75" spans="1:53">
      <c r="A75" s="1"/>
      <c r="B75" s="306" t="s">
        <v>670</v>
      </c>
      <c r="C75" s="307" t="s">
        <v>654</v>
      </c>
      <c r="D75" s="308">
        <v>56</v>
      </c>
      <c r="E75" s="316">
        <v>8000</v>
      </c>
      <c r="F75" s="309">
        <v>4</v>
      </c>
      <c r="G75" s="179">
        <v>0</v>
      </c>
      <c r="H75" s="1"/>
      <c r="I75" s="1"/>
      <c r="J75" s="1"/>
      <c r="K75" s="1"/>
      <c r="L75" s="1"/>
      <c r="M75" s="1"/>
      <c r="N75" s="1"/>
      <c r="O75" s="1"/>
      <c r="P75" s="1"/>
      <c r="Q75" s="1"/>
      <c r="R75" s="1"/>
      <c r="S75" s="1"/>
      <c r="T75" s="1"/>
      <c r="U75" s="1"/>
      <c r="V75" s="1"/>
      <c r="W75" s="1"/>
      <c r="X75" s="1"/>
      <c r="Y75" s="1"/>
      <c r="Z75" s="1"/>
      <c r="AA75" s="1"/>
      <c r="AB75" s="1"/>
      <c r="AC75" s="1"/>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row>
    <row r="76" spans="1:53">
      <c r="A76" s="1"/>
      <c r="B76" s="306" t="s">
        <v>671</v>
      </c>
      <c r="C76" s="307" t="s">
        <v>654</v>
      </c>
      <c r="D76" s="308">
        <v>56</v>
      </c>
      <c r="E76" s="316">
        <v>8000</v>
      </c>
      <c r="F76" s="309">
        <v>4</v>
      </c>
      <c r="G76" s="179">
        <v>0</v>
      </c>
      <c r="H76" s="1"/>
      <c r="I76" s="1"/>
      <c r="J76" s="1"/>
      <c r="K76" s="1"/>
      <c r="L76" s="1"/>
      <c r="M76" s="1"/>
      <c r="N76" s="1"/>
      <c r="O76" s="1"/>
      <c r="P76" s="1"/>
      <c r="Q76" s="1"/>
      <c r="R76" s="1"/>
      <c r="S76" s="1"/>
      <c r="T76" s="1"/>
      <c r="U76" s="1"/>
      <c r="V76" s="1"/>
      <c r="W76" s="1"/>
      <c r="X76" s="1"/>
      <c r="Y76" s="1"/>
      <c r="Z76" s="1"/>
      <c r="AA76" s="1"/>
      <c r="AB76" s="1"/>
      <c r="AC76" s="1"/>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row>
    <row r="77" spans="1:53">
      <c r="A77" s="1"/>
      <c r="B77" s="306" t="s">
        <v>672</v>
      </c>
      <c r="C77" s="307" t="s">
        <v>654</v>
      </c>
      <c r="D77" s="308">
        <v>56</v>
      </c>
      <c r="E77" s="316">
        <v>8000</v>
      </c>
      <c r="F77" s="309">
        <v>4</v>
      </c>
      <c r="G77" s="179">
        <v>0</v>
      </c>
      <c r="H77" s="1"/>
      <c r="I77" s="1"/>
      <c r="J77" s="1"/>
      <c r="K77" s="1"/>
      <c r="L77" s="1"/>
      <c r="M77" s="1"/>
      <c r="N77" s="1"/>
      <c r="O77" s="1"/>
      <c r="P77" s="1"/>
      <c r="Q77" s="1"/>
      <c r="R77" s="1"/>
      <c r="S77" s="1"/>
      <c r="T77" s="1"/>
      <c r="U77" s="1"/>
      <c r="V77" s="1"/>
      <c r="W77" s="1"/>
      <c r="X77" s="1"/>
      <c r="Y77" s="1"/>
      <c r="Z77" s="1"/>
      <c r="AA77" s="1"/>
      <c r="AB77" s="1"/>
      <c r="AC77" s="1"/>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row>
    <row r="78" spans="1:53">
      <c r="A78" s="1"/>
      <c r="B78" s="306" t="s">
        <v>673</v>
      </c>
      <c r="C78" s="307" t="s">
        <v>654</v>
      </c>
      <c r="D78" s="308">
        <v>56</v>
      </c>
      <c r="E78" s="316">
        <v>8000</v>
      </c>
      <c r="F78" s="309">
        <v>4</v>
      </c>
      <c r="G78" s="179">
        <v>0</v>
      </c>
      <c r="H78" s="1"/>
      <c r="I78" s="1"/>
      <c r="J78" s="1"/>
      <c r="K78" s="1"/>
      <c r="L78" s="1"/>
      <c r="M78" s="1"/>
      <c r="N78" s="1"/>
      <c r="O78" s="1"/>
      <c r="P78" s="1"/>
      <c r="Q78" s="1"/>
      <c r="R78" s="1"/>
      <c r="S78" s="1"/>
      <c r="T78" s="1"/>
      <c r="U78" s="1"/>
      <c r="V78" s="1"/>
      <c r="W78" s="1"/>
      <c r="X78" s="1"/>
      <c r="Y78" s="1"/>
      <c r="Z78" s="1"/>
      <c r="AA78" s="1"/>
      <c r="AB78" s="1"/>
      <c r="AC78" s="1"/>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row>
    <row r="79" spans="1:53">
      <c r="A79" s="1"/>
      <c r="B79" s="410" t="s">
        <v>726</v>
      </c>
      <c r="C79" s="179" t="s">
        <v>734</v>
      </c>
      <c r="D79" s="446">
        <v>0</v>
      </c>
      <c r="E79" s="446">
        <v>0</v>
      </c>
      <c r="F79" s="575">
        <v>0</v>
      </c>
      <c r="G79" s="446">
        <v>0</v>
      </c>
      <c r="H79" s="1"/>
      <c r="I79" s="1"/>
      <c r="J79" s="1"/>
      <c r="K79" s="1"/>
      <c r="L79" s="1"/>
      <c r="M79" s="1"/>
      <c r="N79" s="1"/>
      <c r="O79" s="1"/>
      <c r="P79" s="1"/>
      <c r="Q79" s="1"/>
      <c r="R79" s="1"/>
      <c r="S79" s="1"/>
      <c r="T79" s="1"/>
      <c r="U79" s="1"/>
      <c r="V79" s="1"/>
      <c r="W79" s="1"/>
      <c r="X79" s="1"/>
      <c r="Y79" s="1"/>
      <c r="Z79" s="1"/>
      <c r="AA79" s="1"/>
      <c r="AB79" s="1"/>
      <c r="AC79" s="1"/>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row>
    <row r="80" spans="1:53">
      <c r="A80" s="1"/>
      <c r="B80" s="410" t="s">
        <v>727</v>
      </c>
      <c r="C80" s="179" t="s">
        <v>734</v>
      </c>
      <c r="D80" s="446">
        <v>60</v>
      </c>
      <c r="E80" s="446">
        <v>2500</v>
      </c>
      <c r="F80" s="575">
        <v>0</v>
      </c>
      <c r="G80" s="446">
        <v>0</v>
      </c>
      <c r="H80" s="1"/>
      <c r="I80" s="1"/>
      <c r="J80" s="1"/>
      <c r="K80" s="1"/>
      <c r="L80" s="1"/>
      <c r="M80" s="1"/>
      <c r="N80" s="1"/>
      <c r="O80" s="1"/>
      <c r="P80" s="1"/>
      <c r="Q80" s="1"/>
      <c r="R80" s="1"/>
      <c r="S80" s="1"/>
      <c r="T80" s="1"/>
      <c r="U80" s="1"/>
      <c r="V80" s="1"/>
      <c r="W80" s="1"/>
      <c r="X80" s="1"/>
      <c r="Y80" s="1"/>
      <c r="Z80" s="1"/>
      <c r="AA80" s="1"/>
      <c r="AB80" s="1"/>
      <c r="AC80" s="1"/>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row>
    <row r="81" spans="1:53">
      <c r="A81" s="1"/>
      <c r="B81" s="410" t="s">
        <v>728</v>
      </c>
      <c r="C81" s="179" t="s">
        <v>734</v>
      </c>
      <c r="D81" s="446">
        <v>0</v>
      </c>
      <c r="E81" s="446">
        <v>0</v>
      </c>
      <c r="F81" s="575">
        <v>0</v>
      </c>
      <c r="G81" s="446">
        <v>0</v>
      </c>
      <c r="H81" s="1"/>
      <c r="I81" s="1"/>
      <c r="J81" s="1"/>
      <c r="K81" s="1"/>
      <c r="L81" s="1"/>
      <c r="M81" s="1"/>
      <c r="N81" s="1"/>
      <c r="O81" s="1"/>
      <c r="P81" s="1"/>
      <c r="Q81" s="1"/>
      <c r="R81" s="1"/>
      <c r="S81" s="1"/>
      <c r="T81" s="1"/>
      <c r="U81" s="1"/>
      <c r="V81" s="1"/>
      <c r="W81" s="1"/>
      <c r="X81" s="1"/>
      <c r="Y81" s="1"/>
      <c r="Z81" s="1"/>
      <c r="AA81" s="1"/>
      <c r="AB81" s="1"/>
      <c r="AC81" s="1"/>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row>
    <row r="82" spans="1:53">
      <c r="A82" s="1"/>
      <c r="B82" s="410" t="s">
        <v>729</v>
      </c>
      <c r="C82" s="179" t="s">
        <v>734</v>
      </c>
      <c r="D82" s="446">
        <v>0</v>
      </c>
      <c r="E82" s="446">
        <v>0</v>
      </c>
      <c r="F82" s="575">
        <v>0</v>
      </c>
      <c r="G82" s="446">
        <v>0</v>
      </c>
      <c r="H82" s="1"/>
      <c r="I82" s="1"/>
      <c r="J82" s="1"/>
      <c r="K82" s="1"/>
      <c r="L82" s="1"/>
      <c r="M82" s="1"/>
      <c r="N82" s="1"/>
      <c r="O82" s="1"/>
      <c r="P82" s="1"/>
      <c r="Q82" s="1"/>
      <c r="R82" s="1"/>
      <c r="S82" s="1"/>
      <c r="T82" s="1"/>
      <c r="U82" s="1"/>
      <c r="V82" s="1"/>
      <c r="W82" s="1"/>
      <c r="X82" s="1"/>
      <c r="Y82" s="1"/>
      <c r="Z82" s="1"/>
      <c r="AA82" s="1"/>
      <c r="AB82" s="1"/>
      <c r="AC82" s="1"/>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row>
    <row r="83" spans="1:53">
      <c r="A83" s="1"/>
      <c r="B83" s="410" t="s">
        <v>730</v>
      </c>
      <c r="C83" s="179" t="s">
        <v>734</v>
      </c>
      <c r="D83" s="446">
        <v>0</v>
      </c>
      <c r="E83" s="446">
        <v>0</v>
      </c>
      <c r="F83" s="575">
        <v>0</v>
      </c>
      <c r="G83" s="446">
        <v>0</v>
      </c>
      <c r="H83" s="1"/>
      <c r="I83" s="1"/>
      <c r="J83" s="1"/>
      <c r="K83" s="1"/>
      <c r="L83" s="1"/>
      <c r="M83" s="1"/>
      <c r="N83" s="1"/>
      <c r="O83" s="1"/>
      <c r="P83" s="1"/>
      <c r="Q83" s="1"/>
      <c r="R83" s="1"/>
      <c r="S83" s="1"/>
      <c r="T83" s="1"/>
      <c r="U83" s="1"/>
      <c r="V83" s="1"/>
      <c r="W83" s="1"/>
      <c r="X83" s="1"/>
      <c r="Y83" s="1"/>
      <c r="Z83" s="1"/>
      <c r="AA83" s="1"/>
      <c r="AB83" s="1"/>
      <c r="AC83" s="1"/>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row>
    <row r="84" spans="1:53">
      <c r="A84" s="1"/>
      <c r="B84" s="410" t="s">
        <v>731</v>
      </c>
      <c r="C84" s="179" t="s">
        <v>734</v>
      </c>
      <c r="D84" s="446">
        <v>0</v>
      </c>
      <c r="E84" s="446">
        <v>0</v>
      </c>
      <c r="F84" s="575">
        <v>0</v>
      </c>
      <c r="G84" s="446">
        <v>0</v>
      </c>
      <c r="H84" s="1"/>
      <c r="I84" s="1"/>
      <c r="J84" s="1"/>
      <c r="K84" s="1"/>
      <c r="L84" s="1"/>
      <c r="M84" s="1"/>
      <c r="N84" s="1"/>
      <c r="O84" s="1"/>
      <c r="P84" s="1"/>
      <c r="Q84" s="1"/>
      <c r="R84" s="1"/>
      <c r="S84" s="1"/>
      <c r="T84" s="1"/>
      <c r="U84" s="1"/>
      <c r="V84" s="1"/>
      <c r="W84" s="1"/>
      <c r="X84" s="1"/>
      <c r="Y84" s="1"/>
      <c r="Z84" s="1"/>
      <c r="AA84" s="1"/>
      <c r="AB84" s="1"/>
      <c r="AC84" s="1"/>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row>
    <row r="85" spans="1:53">
      <c r="A85" s="1"/>
      <c r="B85" s="573" t="s">
        <v>732</v>
      </c>
      <c r="C85" s="408" t="s">
        <v>734</v>
      </c>
      <c r="D85" s="409">
        <v>0</v>
      </c>
      <c r="E85" s="409">
        <v>0</v>
      </c>
      <c r="F85" s="576">
        <v>0</v>
      </c>
      <c r="G85" s="409">
        <v>0</v>
      </c>
      <c r="H85" s="1"/>
      <c r="I85" s="1"/>
      <c r="J85" s="1"/>
      <c r="K85" s="1"/>
      <c r="L85" s="1"/>
      <c r="M85" s="1"/>
      <c r="N85" s="1"/>
      <c r="O85" s="1"/>
      <c r="P85" s="1"/>
      <c r="Q85" s="1"/>
      <c r="R85" s="1"/>
      <c r="S85" s="1"/>
      <c r="T85" s="1"/>
      <c r="U85" s="1"/>
      <c r="V85" s="1"/>
      <c r="W85" s="1"/>
      <c r="X85" s="1"/>
      <c r="Y85" s="1"/>
      <c r="Z85" s="1"/>
      <c r="AA85" s="1"/>
      <c r="AB85" s="1"/>
      <c r="AC85" s="1"/>
      <c r="AD85" s="76"/>
      <c r="AE85" s="76"/>
      <c r="AF85" s="76"/>
      <c r="AG85" s="76"/>
      <c r="AH85" s="76"/>
      <c r="AI85" s="76"/>
      <c r="AJ85" s="76"/>
      <c r="AK85" s="76"/>
      <c r="AL85" s="76"/>
      <c r="AM85" s="76"/>
      <c r="AN85" s="76"/>
      <c r="AO85" s="76"/>
      <c r="AP85" s="76"/>
      <c r="AQ85" s="76"/>
      <c r="AR85" s="76"/>
      <c r="AS85" s="76"/>
      <c r="AT85" s="76"/>
      <c r="AU85" s="76"/>
      <c r="AV85" s="76"/>
      <c r="AW85" s="76"/>
      <c r="AX85" s="76"/>
      <c r="AY85" s="76"/>
      <c r="AZ85" s="76"/>
      <c r="BA85" s="76"/>
    </row>
    <row r="86" spans="1:53">
      <c r="A86" s="1"/>
      <c r="B86" s="336" t="s">
        <v>733</v>
      </c>
      <c r="C86" s="408" t="s">
        <v>734</v>
      </c>
      <c r="D86" s="409">
        <v>0</v>
      </c>
      <c r="E86" s="409">
        <v>0</v>
      </c>
      <c r="F86" s="409">
        <v>0</v>
      </c>
      <c r="G86" s="409">
        <v>0</v>
      </c>
      <c r="H86" s="1"/>
      <c r="I86" s="1"/>
      <c r="J86" s="1"/>
      <c r="K86" s="1"/>
      <c r="L86" s="1"/>
      <c r="M86" s="1"/>
      <c r="N86" s="1"/>
      <c r="O86" s="1"/>
      <c r="P86" s="1"/>
      <c r="Q86" s="1"/>
      <c r="R86" s="1"/>
      <c r="S86" s="1"/>
      <c r="T86" s="1"/>
      <c r="U86" s="1"/>
      <c r="V86" s="1"/>
      <c r="W86" s="1"/>
      <c r="X86" s="1"/>
      <c r="Y86" s="1"/>
      <c r="Z86" s="1"/>
      <c r="AA86" s="1"/>
      <c r="AB86" s="1"/>
      <c r="AC86" s="1"/>
      <c r="AD86" s="76"/>
      <c r="AE86" s="76"/>
      <c r="AF86" s="76"/>
      <c r="AG86" s="76"/>
      <c r="AH86" s="76"/>
      <c r="AI86" s="76"/>
      <c r="AJ86" s="76"/>
      <c r="AK86" s="76"/>
      <c r="AL86" s="76"/>
      <c r="AM86" s="76"/>
      <c r="AN86" s="76"/>
      <c r="AO86" s="76"/>
      <c r="AP86" s="76"/>
      <c r="AQ86" s="76"/>
      <c r="AR86" s="76"/>
      <c r="AS86" s="76"/>
      <c r="AT86" s="76"/>
      <c r="AU86" s="76"/>
      <c r="AV86" s="76"/>
      <c r="AW86" s="76"/>
      <c r="AX86" s="76"/>
      <c r="AY86" s="76"/>
      <c r="AZ86" s="76"/>
      <c r="BA86" s="76"/>
    </row>
    <row r="87" spans="1:5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76"/>
      <c r="AE87" s="76"/>
      <c r="AF87" s="76"/>
      <c r="AG87" s="76"/>
      <c r="AH87" s="76"/>
      <c r="AI87" s="76"/>
      <c r="AJ87" s="76"/>
      <c r="AK87" s="76"/>
      <c r="AL87" s="76"/>
      <c r="AM87" s="76"/>
      <c r="AN87" s="76"/>
      <c r="AO87" s="76"/>
      <c r="AP87" s="76"/>
      <c r="AQ87" s="76"/>
      <c r="AR87" s="76"/>
      <c r="AS87" s="76"/>
      <c r="AT87" s="76"/>
      <c r="AU87" s="76"/>
      <c r="AV87" s="76"/>
      <c r="AW87" s="76"/>
      <c r="AX87" s="76"/>
      <c r="AY87" s="76"/>
      <c r="AZ87" s="76"/>
      <c r="BA87" s="76"/>
    </row>
    <row r="88" spans="1:5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row>
    <row r="89" spans="1:5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76"/>
      <c r="AE89" s="76"/>
      <c r="AF89" s="76"/>
      <c r="AG89" s="76"/>
      <c r="AH89" s="76"/>
      <c r="AI89" s="76"/>
      <c r="AJ89" s="76"/>
      <c r="AK89" s="76"/>
      <c r="AL89" s="76"/>
      <c r="AM89" s="76"/>
      <c r="AN89" s="76"/>
      <c r="AO89" s="76"/>
      <c r="AP89" s="76"/>
      <c r="AQ89" s="76"/>
      <c r="AR89" s="76"/>
      <c r="AS89" s="76"/>
      <c r="AT89" s="76"/>
      <c r="AU89" s="76"/>
      <c r="AV89" s="76"/>
      <c r="AW89" s="76"/>
      <c r="AX89" s="76"/>
      <c r="AY89" s="76"/>
      <c r="AZ89" s="76"/>
      <c r="BA89" s="76"/>
    </row>
    <row r="90" spans="1:5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76"/>
      <c r="AE90" s="76"/>
      <c r="AF90" s="76"/>
      <c r="AG90" s="76"/>
      <c r="AH90" s="76"/>
      <c r="AI90" s="76"/>
      <c r="AJ90" s="76"/>
      <c r="AK90" s="76"/>
      <c r="AL90" s="76"/>
      <c r="AM90" s="76"/>
      <c r="AN90" s="76"/>
      <c r="AO90" s="76"/>
      <c r="AP90" s="76"/>
      <c r="AQ90" s="76"/>
      <c r="AR90" s="76"/>
      <c r="AS90" s="76"/>
      <c r="AT90" s="76"/>
      <c r="AU90" s="76"/>
      <c r="AV90" s="76"/>
      <c r="AW90" s="76"/>
      <c r="AX90" s="76"/>
      <c r="AY90" s="76"/>
      <c r="AZ90" s="76"/>
      <c r="BA90" s="76"/>
    </row>
    <row r="91" spans="1:5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76"/>
      <c r="AE91" s="76"/>
      <c r="AF91" s="76"/>
      <c r="AG91" s="76"/>
      <c r="AH91" s="76"/>
      <c r="AI91" s="76"/>
      <c r="AJ91" s="76"/>
      <c r="AK91" s="76"/>
      <c r="AL91" s="76"/>
      <c r="AM91" s="76"/>
      <c r="AN91" s="76"/>
      <c r="AO91" s="76"/>
      <c r="AP91" s="76"/>
      <c r="AQ91" s="76"/>
      <c r="AR91" s="76"/>
      <c r="AS91" s="76"/>
      <c r="AT91" s="76"/>
      <c r="AU91" s="76"/>
      <c r="AV91" s="76"/>
      <c r="AW91" s="76"/>
      <c r="AX91" s="76"/>
      <c r="AY91" s="76"/>
      <c r="AZ91" s="76"/>
      <c r="BA91" s="76"/>
    </row>
    <row r="92" spans="1:5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row>
    <row r="93" spans="1:5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row>
    <row r="94" spans="1:5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row>
    <row r="95" spans="1:5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row>
    <row r="96" spans="1:5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row>
    <row r="97" spans="1:5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row>
    <row r="98" spans="1:5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row>
    <row r="99" spans="1:5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row>
    <row r="100" spans="1:5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row>
    <row r="101" spans="1:5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row>
    <row r="102" spans="1:5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row>
    <row r="103" spans="1:5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row>
    <row r="104" spans="1:5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row>
    <row r="105" spans="1:5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row>
    <row r="106" spans="1:5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row>
    <row r="107" spans="1:5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row>
    <row r="108" spans="1:5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row>
    <row r="109" spans="1:5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row>
    <row r="110" spans="1:5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row>
    <row r="111" spans="1:5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row>
    <row r="112" spans="1:5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row>
    <row r="113" spans="2:7">
      <c r="B113" s="1"/>
      <c r="C113" s="1"/>
      <c r="D113" s="1"/>
      <c r="E113" s="1"/>
      <c r="F113" s="1"/>
      <c r="G113" s="1"/>
    </row>
    <row r="114" spans="2:7">
      <c r="B114" s="1"/>
      <c r="C114" s="1"/>
      <c r="D114" s="1"/>
      <c r="E114" s="1"/>
      <c r="F114" s="1"/>
      <c r="G114" s="1"/>
    </row>
    <row r="115" spans="2:7">
      <c r="B115" s="1"/>
      <c r="C115" s="1"/>
      <c r="D115" s="1"/>
      <c r="E115" s="1"/>
      <c r="F115" s="1"/>
      <c r="G115" s="1"/>
    </row>
    <row r="116" spans="2:7">
      <c r="B116" s="1"/>
      <c r="C116" s="1"/>
      <c r="D116" s="1"/>
      <c r="E116" s="1"/>
      <c r="F116" s="1"/>
      <c r="G116" s="1"/>
    </row>
    <row r="117" spans="2:7">
      <c r="B117" s="1"/>
      <c r="C117" s="1"/>
      <c r="D117" s="1"/>
      <c r="E117" s="1"/>
      <c r="F117" s="1"/>
      <c r="G117" s="1"/>
    </row>
    <row r="118" spans="2:7">
      <c r="B118" s="1"/>
      <c r="C118" s="1"/>
      <c r="D118" s="1"/>
      <c r="E118" s="1"/>
      <c r="F118" s="1"/>
      <c r="G118" s="1"/>
    </row>
    <row r="119" spans="2:7">
      <c r="B119" s="1"/>
      <c r="C119" s="1"/>
      <c r="D119" s="1"/>
      <c r="E119" s="1"/>
      <c r="F119" s="1"/>
      <c r="G119" s="1"/>
    </row>
    <row r="120" spans="2:7">
      <c r="B120" s="1"/>
      <c r="C120" s="1"/>
      <c r="D120" s="1"/>
      <c r="E120" s="1"/>
      <c r="F120" s="1"/>
      <c r="G120" s="1"/>
    </row>
    <row r="121" spans="2:7">
      <c r="B121" s="1"/>
      <c r="C121" s="1"/>
      <c r="D121" s="1"/>
      <c r="E121" s="1"/>
      <c r="F121" s="1"/>
      <c r="G121" s="1"/>
    </row>
  </sheetData>
  <sheetProtection algorithmName="SHA-512" hashValue="YzLs5iNwxnhduZWjYMJtWFpHa8pv5xn0AQeh5izHMO/v0WyduI1HBWApURUzLr5xRlKwj8m8Pz6y9u5QWHDhxA==" saltValue="TvPQnSsrdHDo3UqE3JooDA==" spinCount="100000" sheet="1" objects="1" scenarios="1"/>
  <mergeCells count="1">
    <mergeCell ref="B1:F2"/>
  </mergeCells>
  <pageMargins left="0.7" right="0.7" top="0.78740157499999996" bottom="0.78740157499999996" header="0.3" footer="0.3"/>
  <pageSetup paperSize="9" orientation="portrait" horizontalDpi="4294967293" verticalDpi="0" r:id="rId1"/>
  <legacyDrawing r:id="rId2"/>
  <tableParts count="1">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dimension ref="A1:EU198"/>
  <sheetViews>
    <sheetView topLeftCell="AG1" zoomScale="70" zoomScaleNormal="70" workbookViewId="0">
      <selection activeCell="BC50" sqref="BC50"/>
    </sheetView>
  </sheetViews>
  <sheetFormatPr baseColWidth="10" defaultRowHeight="15"/>
  <cols>
    <col min="2" max="2" width="17" customWidth="1"/>
    <col min="3" max="3" width="18.5703125" customWidth="1"/>
    <col min="4" max="4" width="17.5703125" customWidth="1"/>
    <col min="5" max="5" width="14.42578125" customWidth="1"/>
    <col min="6" max="6" width="14" customWidth="1"/>
    <col min="7" max="7" width="22.7109375" customWidth="1"/>
    <col min="8" max="8" width="14.85546875" customWidth="1"/>
    <col min="9" max="9" width="21.85546875" customWidth="1"/>
    <col min="10" max="10" width="22.42578125" customWidth="1"/>
    <col min="11" max="11" width="10.5703125" customWidth="1"/>
    <col min="14" max="14" width="15.28515625" customWidth="1"/>
    <col min="15" max="15" width="14.42578125" customWidth="1"/>
    <col min="16" max="16" width="16.85546875" customWidth="1"/>
    <col min="17" max="17" width="19.140625" customWidth="1"/>
    <col min="18" max="18" width="16" customWidth="1"/>
    <col min="19" max="19" width="18.42578125" customWidth="1"/>
    <col min="20" max="20" width="17.28515625" customWidth="1"/>
    <col min="21" max="21" width="5.28515625" customWidth="1"/>
    <col min="22" max="22" width="20.42578125" customWidth="1"/>
    <col min="23" max="23" width="12" customWidth="1"/>
    <col min="25" max="25" width="12.28515625" customWidth="1"/>
    <col min="26" max="26" width="14" customWidth="1"/>
    <col min="27" max="27" width="15.28515625" customWidth="1"/>
    <col min="28" max="28" width="14.85546875" customWidth="1"/>
    <col min="29" max="29" width="18.5703125" customWidth="1"/>
    <col min="30" max="30" width="16.140625" style="336" customWidth="1"/>
    <col min="31" max="31" width="17.42578125" style="336" customWidth="1"/>
    <col min="32" max="32" width="23.42578125" customWidth="1"/>
    <col min="33" max="33" width="17.28515625" customWidth="1"/>
    <col min="41" max="42" width="11.42578125" style="336"/>
    <col min="51" max="51" width="22.85546875" customWidth="1"/>
    <col min="52" max="53" width="20.28515625" style="336" customWidth="1"/>
    <col min="55" max="55" width="29.5703125" customWidth="1"/>
    <col min="58" max="58" width="14" customWidth="1"/>
    <col min="65" max="65" width="30.28515625" customWidth="1"/>
    <col min="66" max="66" width="20" customWidth="1"/>
    <col min="67" max="67" width="21" customWidth="1"/>
    <col min="68" max="68" width="19" customWidth="1"/>
    <col min="69" max="69" width="18.7109375" customWidth="1"/>
  </cols>
  <sheetData>
    <row r="1" spans="1:151">
      <c r="A1" s="177"/>
      <c r="B1" s="177"/>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c r="AC1" s="177"/>
      <c r="AD1" s="177"/>
      <c r="AE1" s="177"/>
      <c r="AF1" s="177"/>
      <c r="AG1" s="177"/>
      <c r="AH1" s="177"/>
      <c r="AI1" s="177"/>
      <c r="AJ1" s="177"/>
      <c r="AK1" s="177"/>
      <c r="AL1" s="177"/>
      <c r="AM1" s="177"/>
      <c r="AN1" s="177"/>
      <c r="AO1" s="25"/>
      <c r="AP1" s="25"/>
      <c r="AR1" s="177"/>
      <c r="AS1" s="177"/>
      <c r="AT1" s="177"/>
      <c r="AU1" s="177"/>
      <c r="AV1" s="177"/>
      <c r="AW1" s="177"/>
      <c r="AX1" s="177"/>
      <c r="AY1" s="177"/>
      <c r="AZ1" s="177"/>
      <c r="BA1" s="177"/>
      <c r="BB1" s="177"/>
      <c r="BC1" s="177"/>
      <c r="BD1" s="177"/>
      <c r="BE1" s="177"/>
      <c r="BF1" s="177"/>
      <c r="BG1" s="177"/>
      <c r="BH1" s="177"/>
      <c r="BI1" s="177"/>
      <c r="BJ1" s="177"/>
      <c r="BK1" s="177"/>
      <c r="BL1" s="177"/>
      <c r="BM1" s="177"/>
      <c r="BN1" s="177"/>
      <c r="BO1" s="177"/>
      <c r="BP1" s="177"/>
      <c r="BQ1" s="177"/>
      <c r="BR1" s="177"/>
      <c r="BS1" s="177"/>
      <c r="BT1" s="177"/>
      <c r="BU1" s="177"/>
      <c r="BV1" s="177"/>
      <c r="BW1" s="177"/>
      <c r="BX1" s="177"/>
      <c r="BY1" s="177"/>
      <c r="BZ1" s="177"/>
      <c r="CA1" s="177"/>
      <c r="CB1" s="177"/>
      <c r="CC1" s="177"/>
      <c r="CD1" s="177"/>
      <c r="CE1" s="177"/>
      <c r="CF1" s="177"/>
      <c r="CG1" s="177"/>
      <c r="CH1" s="177"/>
      <c r="CI1" s="177"/>
      <c r="CJ1" s="177"/>
      <c r="CK1" s="177"/>
      <c r="CL1" s="177"/>
      <c r="CM1" s="177"/>
      <c r="CN1" s="177"/>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7"/>
      <c r="DM1" s="177"/>
      <c r="DN1" s="177"/>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row>
    <row r="2" spans="1:151" ht="15" customHeight="1">
      <c r="A2" s="177"/>
      <c r="B2" s="873" t="s">
        <v>191</v>
      </c>
      <c r="C2" s="873"/>
      <c r="D2" s="873"/>
      <c r="E2" s="873"/>
      <c r="F2" s="873"/>
      <c r="G2" s="873"/>
      <c r="H2" s="873"/>
      <c r="I2" s="873"/>
      <c r="J2" s="180"/>
      <c r="K2" s="180"/>
      <c r="L2" s="873" t="s">
        <v>195</v>
      </c>
      <c r="M2" s="873"/>
      <c r="N2" s="873"/>
      <c r="O2" s="873"/>
      <c r="P2" s="873"/>
      <c r="Q2" s="873"/>
      <c r="R2" s="873"/>
      <c r="S2" s="873"/>
      <c r="T2" s="180"/>
      <c r="U2" s="180"/>
      <c r="V2" s="873" t="s">
        <v>531</v>
      </c>
      <c r="W2" s="874"/>
      <c r="X2" s="874"/>
      <c r="Y2" s="874"/>
      <c r="Z2" s="874"/>
      <c r="AA2" s="874"/>
      <c r="AB2" s="874"/>
      <c r="AC2" s="874"/>
      <c r="AD2" s="404"/>
      <c r="AE2" s="404"/>
      <c r="AF2" s="177"/>
      <c r="AG2" s="873" t="s">
        <v>532</v>
      </c>
      <c r="AH2" s="873"/>
      <c r="AI2" s="873"/>
      <c r="AJ2" s="873"/>
      <c r="AK2" s="873"/>
      <c r="AL2" s="873"/>
      <c r="AM2" s="873"/>
      <c r="AN2" s="873"/>
      <c r="AO2" s="403"/>
      <c r="AP2" s="403"/>
      <c r="AQ2" s="177"/>
      <c r="AR2" s="873" t="s">
        <v>533</v>
      </c>
      <c r="AS2" s="873"/>
      <c r="AT2" s="873"/>
      <c r="AU2" s="873"/>
      <c r="AV2" s="873"/>
      <c r="AW2" s="873"/>
      <c r="AX2" s="873"/>
      <c r="AY2" s="873"/>
      <c r="AZ2" s="403"/>
      <c r="BA2" s="403"/>
      <c r="BB2" s="189"/>
      <c r="BC2" s="177"/>
      <c r="BD2" s="177"/>
      <c r="BE2" s="177"/>
      <c r="BF2" s="177"/>
      <c r="BG2" s="177"/>
      <c r="BH2" s="177"/>
      <c r="BI2" s="177"/>
      <c r="BJ2" s="177"/>
      <c r="BK2" s="177"/>
      <c r="BL2" s="177"/>
      <c r="BM2" s="873" t="s">
        <v>524</v>
      </c>
      <c r="BN2" s="873"/>
      <c r="BO2" s="873"/>
      <c r="BP2" s="873"/>
      <c r="BQ2" s="873"/>
      <c r="BR2" s="873"/>
      <c r="BS2" s="873"/>
      <c r="BT2" s="873"/>
      <c r="BU2" s="873"/>
      <c r="BV2" s="177"/>
      <c r="BW2" s="177"/>
      <c r="BX2" s="177"/>
      <c r="BY2" s="177"/>
      <c r="BZ2" t="s">
        <v>187</v>
      </c>
      <c r="CA2" t="s">
        <v>188</v>
      </c>
      <c r="CB2" t="s">
        <v>180</v>
      </c>
      <c r="CC2" t="s">
        <v>181</v>
      </c>
      <c r="CD2" t="s">
        <v>182</v>
      </c>
      <c r="CE2" t="s">
        <v>192</v>
      </c>
      <c r="CF2" t="s">
        <v>193</v>
      </c>
      <c r="CG2" t="s">
        <v>194</v>
      </c>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row>
    <row r="3" spans="1:151" ht="15" customHeight="1">
      <c r="A3" s="177"/>
      <c r="B3" s="873"/>
      <c r="C3" s="873"/>
      <c r="D3" s="873"/>
      <c r="E3" s="873"/>
      <c r="F3" s="873"/>
      <c r="G3" s="873"/>
      <c r="H3" s="873"/>
      <c r="I3" s="873"/>
      <c r="J3" s="180"/>
      <c r="K3" s="180"/>
      <c r="L3" s="873"/>
      <c r="M3" s="873"/>
      <c r="N3" s="873"/>
      <c r="O3" s="873"/>
      <c r="P3" s="873"/>
      <c r="Q3" s="873"/>
      <c r="R3" s="873"/>
      <c r="S3" s="873"/>
      <c r="T3" s="180"/>
      <c r="U3" s="180"/>
      <c r="V3" s="874"/>
      <c r="W3" s="874"/>
      <c r="X3" s="874"/>
      <c r="Y3" s="874"/>
      <c r="Z3" s="874"/>
      <c r="AA3" s="874"/>
      <c r="AB3" s="874"/>
      <c r="AC3" s="874"/>
      <c r="AD3" s="404"/>
      <c r="AE3" s="404"/>
      <c r="AF3" s="177"/>
      <c r="AG3" s="873"/>
      <c r="AH3" s="873"/>
      <c r="AI3" s="873"/>
      <c r="AJ3" s="873"/>
      <c r="AK3" s="873"/>
      <c r="AL3" s="873"/>
      <c r="AM3" s="873"/>
      <c r="AN3" s="873"/>
      <c r="AO3" s="403"/>
      <c r="AP3" s="403"/>
      <c r="AQ3" s="189"/>
      <c r="AR3" s="873"/>
      <c r="AS3" s="873"/>
      <c r="AT3" s="873"/>
      <c r="AU3" s="873"/>
      <c r="AV3" s="873"/>
      <c r="AW3" s="873"/>
      <c r="AX3" s="873"/>
      <c r="AY3" s="873"/>
      <c r="AZ3" s="403"/>
      <c r="BA3" s="403"/>
      <c r="BB3" s="189"/>
      <c r="BC3" s="177"/>
      <c r="BD3" s="177"/>
      <c r="BE3" s="177"/>
      <c r="BF3" s="177"/>
      <c r="BG3" s="177"/>
      <c r="BH3" s="177"/>
      <c r="BI3" s="177"/>
      <c r="BJ3" s="177"/>
      <c r="BK3" s="177"/>
      <c r="BL3" s="177"/>
      <c r="BM3" s="873"/>
      <c r="BN3" s="873"/>
      <c r="BO3" s="873"/>
      <c r="BP3" s="873"/>
      <c r="BQ3" s="873"/>
      <c r="BR3" s="873"/>
      <c r="BS3" s="873"/>
      <c r="BT3" s="873"/>
      <c r="BU3" s="873"/>
      <c r="BV3" s="177"/>
      <c r="BW3" s="177"/>
      <c r="BX3" s="177"/>
      <c r="BY3" s="177"/>
      <c r="BZ3" s="245" t="s">
        <v>98</v>
      </c>
      <c r="CA3" s="245" t="s">
        <v>534</v>
      </c>
      <c r="CB3" s="201">
        <v>0</v>
      </c>
      <c r="CC3" s="201">
        <v>0</v>
      </c>
      <c r="CD3" s="201">
        <v>0</v>
      </c>
      <c r="CE3" s="215">
        <v>0</v>
      </c>
      <c r="CF3" s="215">
        <v>0</v>
      </c>
      <c r="CG3" s="215">
        <v>3</v>
      </c>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row>
    <row r="4" spans="1:151">
      <c r="A4" s="177"/>
      <c r="B4" s="178" t="s">
        <v>187</v>
      </c>
      <c r="C4" s="178" t="s">
        <v>188</v>
      </c>
      <c r="D4" s="178" t="s">
        <v>180</v>
      </c>
      <c r="E4" s="178" t="s">
        <v>181</v>
      </c>
      <c r="F4" s="178" t="s">
        <v>182</v>
      </c>
      <c r="G4" s="178" t="s">
        <v>192</v>
      </c>
      <c r="H4" s="178" t="s">
        <v>193</v>
      </c>
      <c r="I4" s="178" t="s">
        <v>194</v>
      </c>
      <c r="J4" s="177"/>
      <c r="K4" s="177"/>
      <c r="L4" s="178" t="s">
        <v>187</v>
      </c>
      <c r="M4" s="178" t="s">
        <v>188</v>
      </c>
      <c r="N4" s="178" t="s">
        <v>180</v>
      </c>
      <c r="O4" s="178" t="s">
        <v>181</v>
      </c>
      <c r="P4" s="178" t="s">
        <v>182</v>
      </c>
      <c r="Q4" s="178" t="s">
        <v>192</v>
      </c>
      <c r="R4" s="178" t="s">
        <v>193</v>
      </c>
      <c r="S4" s="178" t="s">
        <v>194</v>
      </c>
      <c r="T4" s="396" t="s">
        <v>715</v>
      </c>
      <c r="U4" s="177"/>
      <c r="V4" s="178" t="s">
        <v>187</v>
      </c>
      <c r="W4" s="178" t="s">
        <v>188</v>
      </c>
      <c r="X4" s="178" t="s">
        <v>180</v>
      </c>
      <c r="Y4" s="178" t="s">
        <v>181</v>
      </c>
      <c r="Z4" s="178" t="s">
        <v>182</v>
      </c>
      <c r="AA4" s="178" t="s">
        <v>192</v>
      </c>
      <c r="AB4" s="178" t="s">
        <v>193</v>
      </c>
      <c r="AC4" s="178" t="s">
        <v>194</v>
      </c>
      <c r="AD4" s="178" t="s">
        <v>737</v>
      </c>
      <c r="AE4" s="178" t="s">
        <v>738</v>
      </c>
      <c r="AF4" s="177"/>
      <c r="AG4" s="178" t="s">
        <v>187</v>
      </c>
      <c r="AH4" s="178" t="s">
        <v>188</v>
      </c>
      <c r="AI4" s="178" t="s">
        <v>180</v>
      </c>
      <c r="AJ4" s="178" t="s">
        <v>181</v>
      </c>
      <c r="AK4" s="178" t="s">
        <v>182</v>
      </c>
      <c r="AL4" s="178" t="s">
        <v>192</v>
      </c>
      <c r="AM4" s="178" t="s">
        <v>193</v>
      </c>
      <c r="AN4" s="178" t="s">
        <v>194</v>
      </c>
      <c r="AO4" s="178" t="s">
        <v>737</v>
      </c>
      <c r="AP4" s="178" t="s">
        <v>738</v>
      </c>
      <c r="AQ4" s="189"/>
      <c r="AR4" s="178" t="s">
        <v>187</v>
      </c>
      <c r="AS4" s="178" t="s">
        <v>188</v>
      </c>
      <c r="AT4" s="178" t="s">
        <v>180</v>
      </c>
      <c r="AU4" s="178" t="s">
        <v>181</v>
      </c>
      <c r="AV4" s="178" t="s">
        <v>182</v>
      </c>
      <c r="AW4" s="178" t="s">
        <v>192</v>
      </c>
      <c r="AX4" s="178" t="s">
        <v>193</v>
      </c>
      <c r="AY4" s="178" t="s">
        <v>194</v>
      </c>
      <c r="AZ4" s="178" t="s">
        <v>737</v>
      </c>
      <c r="BA4" s="178" t="s">
        <v>738</v>
      </c>
      <c r="BB4" s="177"/>
      <c r="BC4" s="178" t="s">
        <v>457</v>
      </c>
      <c r="BD4" s="872" t="s">
        <v>180</v>
      </c>
      <c r="BE4" s="872"/>
      <c r="BF4" s="872" t="s">
        <v>181</v>
      </c>
      <c r="BG4" s="872"/>
      <c r="BH4" s="872" t="s">
        <v>182</v>
      </c>
      <c r="BI4" s="872"/>
      <c r="BJ4" s="872" t="s">
        <v>194</v>
      </c>
      <c r="BK4" s="872"/>
      <c r="BL4" s="177"/>
      <c r="BM4" s="872" t="s">
        <v>507</v>
      </c>
      <c r="BN4" s="872"/>
      <c r="BO4" s="872"/>
      <c r="BP4" s="872"/>
      <c r="BQ4" s="872"/>
      <c r="BR4" s="872"/>
      <c r="BS4" s="872"/>
      <c r="BT4" s="872"/>
      <c r="BU4" s="872"/>
      <c r="BV4" s="872"/>
      <c r="BW4" s="872"/>
      <c r="BX4" s="872"/>
      <c r="BY4" s="177"/>
      <c r="BZ4" s="245" t="s">
        <v>99</v>
      </c>
      <c r="CA4" s="245" t="s">
        <v>534</v>
      </c>
      <c r="CB4" s="201">
        <v>0</v>
      </c>
      <c r="CC4" s="201">
        <v>3</v>
      </c>
      <c r="CD4" s="201">
        <v>0</v>
      </c>
      <c r="CE4" s="215">
        <v>0</v>
      </c>
      <c r="CF4" s="215">
        <v>0</v>
      </c>
      <c r="CG4" s="215">
        <v>9</v>
      </c>
      <c r="CH4" s="177"/>
      <c r="CI4" s="177"/>
      <c r="CJ4" s="177"/>
      <c r="CK4" s="177"/>
      <c r="CL4" s="177"/>
      <c r="CM4" s="177"/>
      <c r="CN4" s="177"/>
      <c r="CO4" s="177"/>
      <c r="CP4" s="177"/>
      <c r="CQ4" s="177"/>
      <c r="CR4" s="177"/>
      <c r="CS4" s="177"/>
      <c r="CT4" s="177"/>
      <c r="CU4" s="177"/>
      <c r="CV4" s="178"/>
      <c r="CW4" s="178"/>
      <c r="CX4" s="178"/>
      <c r="CY4" s="178"/>
      <c r="CZ4" s="178"/>
      <c r="DA4" s="178"/>
      <c r="DB4" s="178"/>
      <c r="DC4" s="178"/>
      <c r="DD4" s="178"/>
      <c r="DE4" s="178"/>
      <c r="DF4" s="178"/>
      <c r="DG4" s="178"/>
      <c r="DH4" s="178"/>
      <c r="DI4" s="178"/>
      <c r="DJ4" s="178"/>
      <c r="DK4" s="178"/>
      <c r="DL4" s="178"/>
      <c r="DM4" s="178"/>
      <c r="DN4" s="178"/>
    </row>
    <row r="5" spans="1:151">
      <c r="A5" s="177"/>
      <c r="B5" s="178" t="s">
        <v>98</v>
      </c>
      <c r="C5" s="178" t="s">
        <v>534</v>
      </c>
      <c r="D5" s="184">
        <v>100000</v>
      </c>
      <c r="E5" s="184">
        <v>55000</v>
      </c>
      <c r="F5" s="188">
        <v>32000</v>
      </c>
      <c r="G5" s="188">
        <v>62000</v>
      </c>
      <c r="H5" s="188">
        <v>0</v>
      </c>
      <c r="I5" s="188">
        <v>0</v>
      </c>
      <c r="J5" s="177"/>
      <c r="K5" s="177"/>
      <c r="L5" s="178" t="s">
        <v>98</v>
      </c>
      <c r="M5" s="178" t="s">
        <v>534</v>
      </c>
      <c r="N5" s="201">
        <v>195</v>
      </c>
      <c r="O5" s="201">
        <v>85</v>
      </c>
      <c r="P5" s="201">
        <v>0</v>
      </c>
      <c r="Q5" s="217">
        <v>0</v>
      </c>
      <c r="R5" s="218">
        <v>25</v>
      </c>
      <c r="S5" s="202">
        <v>195</v>
      </c>
      <c r="T5" s="343">
        <v>2450</v>
      </c>
      <c r="U5" s="177"/>
      <c r="V5" s="178" t="s">
        <v>98</v>
      </c>
      <c r="W5" s="178" t="s">
        <v>534</v>
      </c>
      <c r="X5" s="193">
        <v>5.5</v>
      </c>
      <c r="Y5" s="193">
        <v>3.2</v>
      </c>
      <c r="Z5" s="193"/>
      <c r="AA5" s="188"/>
      <c r="AB5" s="188">
        <v>0.2</v>
      </c>
      <c r="AC5" s="193">
        <v>2.8</v>
      </c>
      <c r="AD5" s="193">
        <v>16.5</v>
      </c>
      <c r="AE5" s="193">
        <v>2.2999999999999998</v>
      </c>
      <c r="AF5" s="191"/>
      <c r="AG5" s="178" t="s">
        <v>98</v>
      </c>
      <c r="AH5" s="178" t="s">
        <v>534</v>
      </c>
      <c r="AI5" s="193">
        <v>2</v>
      </c>
      <c r="AJ5" s="193">
        <v>1</v>
      </c>
      <c r="AK5" s="193"/>
      <c r="AL5" s="193"/>
      <c r="AM5" s="193"/>
      <c r="AN5" s="193">
        <v>2</v>
      </c>
      <c r="AO5" s="193">
        <v>2</v>
      </c>
      <c r="AP5" s="193">
        <v>2</v>
      </c>
      <c r="AQ5" s="177"/>
      <c r="AR5" s="178" t="s">
        <v>98</v>
      </c>
      <c r="AS5" s="178" t="s">
        <v>534</v>
      </c>
      <c r="AT5" s="188"/>
      <c r="AU5" s="188" t="s">
        <v>18</v>
      </c>
      <c r="AV5" s="188"/>
      <c r="AW5" s="188"/>
      <c r="AX5" s="188" t="s">
        <v>18</v>
      </c>
      <c r="AY5" s="188" t="s">
        <v>735</v>
      </c>
      <c r="AZ5" s="595" t="s">
        <v>735</v>
      </c>
      <c r="BA5" s="595" t="s">
        <v>735</v>
      </c>
      <c r="BB5" s="192"/>
      <c r="BC5" s="178"/>
      <c r="BD5" s="178" t="s">
        <v>458</v>
      </c>
      <c r="BE5" s="178" t="s">
        <v>459</v>
      </c>
      <c r="BF5" s="178" t="s">
        <v>458</v>
      </c>
      <c r="BG5" s="178" t="s">
        <v>459</v>
      </c>
      <c r="BH5" s="178" t="s">
        <v>458</v>
      </c>
      <c r="BI5" s="178" t="s">
        <v>459</v>
      </c>
      <c r="BJ5" s="178" t="s">
        <v>458</v>
      </c>
      <c r="BK5" s="178" t="s">
        <v>459</v>
      </c>
      <c r="BL5" s="177"/>
      <c r="BM5" s="185" t="s">
        <v>530</v>
      </c>
      <c r="BN5" s="186">
        <v>65</v>
      </c>
      <c r="BO5" s="186">
        <v>75</v>
      </c>
      <c r="BP5" s="186">
        <v>90</v>
      </c>
      <c r="BQ5" s="186">
        <v>100</v>
      </c>
      <c r="BR5" s="186">
        <v>115</v>
      </c>
      <c r="BS5" s="186">
        <v>125</v>
      </c>
      <c r="BT5" s="187">
        <v>135</v>
      </c>
      <c r="BU5" s="187" t="s">
        <v>526</v>
      </c>
      <c r="BV5" s="186" t="s">
        <v>527</v>
      </c>
      <c r="BW5" s="186" t="s">
        <v>528</v>
      </c>
      <c r="BX5" s="186" t="s">
        <v>529</v>
      </c>
      <c r="BY5" s="177"/>
      <c r="BZ5" s="245" t="s">
        <v>100</v>
      </c>
      <c r="CA5" s="245" t="s">
        <v>534</v>
      </c>
      <c r="CB5" s="201">
        <v>24</v>
      </c>
      <c r="CC5" s="201">
        <v>7</v>
      </c>
      <c r="CD5" s="201">
        <v>0</v>
      </c>
      <c r="CE5" s="215">
        <v>0</v>
      </c>
      <c r="CF5" s="215">
        <v>6</v>
      </c>
      <c r="CG5" s="215">
        <v>13</v>
      </c>
      <c r="CH5" s="177"/>
      <c r="CI5" s="177"/>
      <c r="CJ5" s="177"/>
      <c r="CK5" s="177"/>
      <c r="CL5" s="177"/>
      <c r="CM5" s="177"/>
      <c r="CN5" s="177"/>
      <c r="CO5" s="177"/>
      <c r="CP5" s="177"/>
      <c r="CQ5" s="177"/>
      <c r="CR5" s="177"/>
      <c r="CS5" s="177"/>
      <c r="CT5" s="177"/>
      <c r="CU5" s="177"/>
      <c r="CV5" s="178"/>
      <c r="CW5" s="178"/>
      <c r="CX5" s="178"/>
      <c r="CY5" s="178"/>
      <c r="CZ5" s="178"/>
      <c r="DA5" s="178"/>
      <c r="DB5" s="178"/>
      <c r="DC5" s="178"/>
      <c r="DD5" s="178"/>
      <c r="DE5" s="178"/>
      <c r="DF5" s="178"/>
      <c r="DG5" s="178"/>
      <c r="DH5" s="178"/>
      <c r="DI5" s="178"/>
      <c r="DJ5" s="178"/>
      <c r="DK5" s="178"/>
      <c r="DL5" s="178"/>
      <c r="DM5" s="178"/>
      <c r="DN5" s="178"/>
    </row>
    <row r="6" spans="1:151">
      <c r="A6" s="177"/>
      <c r="B6" s="178" t="s">
        <v>99</v>
      </c>
      <c r="C6" s="178" t="s">
        <v>534</v>
      </c>
      <c r="D6" s="184">
        <v>58500</v>
      </c>
      <c r="E6" s="184">
        <v>27500</v>
      </c>
      <c r="F6" s="188">
        <v>0</v>
      </c>
      <c r="G6" s="188">
        <v>65000</v>
      </c>
      <c r="H6" s="188">
        <v>0</v>
      </c>
      <c r="I6" s="188">
        <v>27500</v>
      </c>
      <c r="J6" s="190"/>
      <c r="K6" s="177"/>
      <c r="L6" s="178" t="s">
        <v>99</v>
      </c>
      <c r="M6" s="178" t="s">
        <v>534</v>
      </c>
      <c r="N6" s="201">
        <v>185.75</v>
      </c>
      <c r="O6" s="201">
        <v>85</v>
      </c>
      <c r="P6" s="201">
        <v>0</v>
      </c>
      <c r="Q6" s="217">
        <v>0</v>
      </c>
      <c r="R6" s="202">
        <v>25</v>
      </c>
      <c r="S6" s="217">
        <v>185.75</v>
      </c>
      <c r="T6" s="343">
        <v>2450</v>
      </c>
      <c r="U6" s="177"/>
      <c r="V6" s="178" t="s">
        <v>99</v>
      </c>
      <c r="W6" s="178" t="s">
        <v>534</v>
      </c>
      <c r="X6" s="193">
        <v>5.6</v>
      </c>
      <c r="Y6" s="193">
        <v>4.7</v>
      </c>
      <c r="Z6" s="193"/>
      <c r="AA6" s="188"/>
      <c r="AB6" s="188">
        <v>0.2</v>
      </c>
      <c r="AC6" s="193">
        <v>3.2</v>
      </c>
      <c r="AD6" s="193">
        <v>16.5</v>
      </c>
      <c r="AE6" s="193">
        <v>2.4</v>
      </c>
      <c r="AF6" s="177"/>
      <c r="AG6" s="178" t="s">
        <v>99</v>
      </c>
      <c r="AH6" s="178" t="s">
        <v>534</v>
      </c>
      <c r="AI6" s="193">
        <v>2</v>
      </c>
      <c r="AJ6" s="193">
        <v>1</v>
      </c>
      <c r="AK6" s="193"/>
      <c r="AL6" s="193"/>
      <c r="AM6" s="193"/>
      <c r="AN6" s="193">
        <v>2</v>
      </c>
      <c r="AO6" s="193">
        <v>2</v>
      </c>
      <c r="AP6" s="193">
        <v>2</v>
      </c>
      <c r="AQ6" s="177"/>
      <c r="AR6" s="178" t="s">
        <v>99</v>
      </c>
      <c r="AS6" s="178" t="s">
        <v>534</v>
      </c>
      <c r="AT6" s="188"/>
      <c r="AU6" s="188" t="s">
        <v>18</v>
      </c>
      <c r="AV6" s="188"/>
      <c r="AW6" s="188"/>
      <c r="AX6" s="188" t="s">
        <v>18</v>
      </c>
      <c r="AY6" s="188" t="s">
        <v>735</v>
      </c>
      <c r="AZ6" s="595" t="s">
        <v>735</v>
      </c>
      <c r="BA6" s="595" t="s">
        <v>735</v>
      </c>
      <c r="BB6" s="177"/>
      <c r="BC6" s="184" t="s">
        <v>460</v>
      </c>
      <c r="BD6" s="184">
        <v>0</v>
      </c>
      <c r="BE6" s="184">
        <v>0</v>
      </c>
      <c r="BF6" s="184">
        <v>0</v>
      </c>
      <c r="BG6" s="184">
        <v>0</v>
      </c>
      <c r="BH6" s="184">
        <v>0</v>
      </c>
      <c r="BI6" s="184">
        <v>0</v>
      </c>
      <c r="BJ6" s="184">
        <v>0</v>
      </c>
      <c r="BK6" s="184">
        <v>0</v>
      </c>
      <c r="BL6" s="177"/>
      <c r="BM6" s="194">
        <v>5</v>
      </c>
      <c r="BN6" s="195">
        <v>3813.3333333333335</v>
      </c>
      <c r="BO6" s="195">
        <v>7412.0750000000007</v>
      </c>
      <c r="BP6" s="195">
        <v>12404.333333333334</v>
      </c>
      <c r="BQ6" s="195">
        <v>13249.500000000002</v>
      </c>
      <c r="BR6" s="188">
        <v>15478.833333333334</v>
      </c>
      <c r="BS6" s="188">
        <v>16984</v>
      </c>
      <c r="BT6" s="188"/>
      <c r="BU6" s="188"/>
      <c r="BV6" s="188"/>
      <c r="BW6" s="188"/>
      <c r="BX6" s="188"/>
      <c r="BY6" s="177"/>
      <c r="BZ6" s="245" t="s">
        <v>101</v>
      </c>
      <c r="CA6" s="245" t="s">
        <v>534</v>
      </c>
      <c r="CB6" s="201">
        <v>0</v>
      </c>
      <c r="CC6" s="201">
        <v>2</v>
      </c>
      <c r="CD6" s="201">
        <v>0</v>
      </c>
      <c r="CE6" s="215">
        <v>0</v>
      </c>
      <c r="CF6" s="215">
        <v>1</v>
      </c>
      <c r="CG6" s="215">
        <v>0</v>
      </c>
      <c r="CH6" s="177"/>
      <c r="CI6" s="177"/>
      <c r="CJ6" s="177"/>
      <c r="CK6" s="177"/>
      <c r="CL6" s="177"/>
      <c r="CM6" s="177"/>
      <c r="CN6" s="177"/>
      <c r="CO6" s="177"/>
      <c r="CP6" s="177"/>
      <c r="CQ6" s="177"/>
      <c r="CR6" s="177"/>
      <c r="CS6" s="177"/>
      <c r="CT6" s="177"/>
      <c r="CU6" s="177"/>
      <c r="CV6" s="178"/>
      <c r="CW6" s="178"/>
      <c r="CX6" s="178"/>
      <c r="CY6" s="178"/>
      <c r="CZ6" s="178"/>
      <c r="DA6" s="178"/>
      <c r="DB6" s="178"/>
      <c r="DC6" s="178"/>
      <c r="DD6" s="178"/>
      <c r="DE6" s="178"/>
      <c r="DF6" s="178"/>
      <c r="DG6" s="178"/>
      <c r="DH6" s="178"/>
      <c r="DI6" s="178"/>
      <c r="DJ6" s="178"/>
      <c r="DK6" s="178"/>
      <c r="DL6" s="178"/>
      <c r="DM6" s="178"/>
      <c r="DN6" s="178"/>
    </row>
    <row r="7" spans="1:151">
      <c r="A7" s="177"/>
      <c r="B7" s="178" t="s">
        <v>100</v>
      </c>
      <c r="C7" s="178" t="s">
        <v>534</v>
      </c>
      <c r="D7" s="184">
        <v>84700</v>
      </c>
      <c r="E7" s="184">
        <v>30000</v>
      </c>
      <c r="F7" s="188">
        <v>0</v>
      </c>
      <c r="G7" s="188">
        <v>0</v>
      </c>
      <c r="H7" s="188">
        <v>0</v>
      </c>
      <c r="I7" s="188">
        <v>27930</v>
      </c>
      <c r="J7" s="177"/>
      <c r="K7" s="177"/>
      <c r="L7" s="178" t="s">
        <v>100</v>
      </c>
      <c r="M7" s="178" t="s">
        <v>534</v>
      </c>
      <c r="N7" s="201">
        <v>284</v>
      </c>
      <c r="O7" s="201">
        <v>98.5</v>
      </c>
      <c r="P7" s="201">
        <v>0</v>
      </c>
      <c r="Q7" s="202">
        <v>0</v>
      </c>
      <c r="R7" s="202">
        <v>19.75</v>
      </c>
      <c r="S7" s="217">
        <v>342.75</v>
      </c>
      <c r="T7" s="343">
        <v>2450</v>
      </c>
      <c r="U7" s="177"/>
      <c r="V7" s="178" t="s">
        <v>100</v>
      </c>
      <c r="W7" s="178" t="s">
        <v>534</v>
      </c>
      <c r="X7" s="193">
        <v>7.8</v>
      </c>
      <c r="Y7" s="193">
        <v>5.8</v>
      </c>
      <c r="Z7" s="193"/>
      <c r="AA7" s="188"/>
      <c r="AB7" s="188">
        <v>0.2</v>
      </c>
      <c r="AC7" s="193">
        <v>5.2</v>
      </c>
      <c r="AD7" s="193">
        <v>26.5</v>
      </c>
      <c r="AE7" s="193">
        <v>5.2</v>
      </c>
      <c r="AF7" s="177"/>
      <c r="AG7" s="178" t="s">
        <v>100</v>
      </c>
      <c r="AH7" s="178" t="s">
        <v>534</v>
      </c>
      <c r="AI7" s="193">
        <v>2</v>
      </c>
      <c r="AJ7" s="193">
        <v>1</v>
      </c>
      <c r="AK7" s="193"/>
      <c r="AL7" s="193"/>
      <c r="AM7" s="193"/>
      <c r="AN7" s="193">
        <v>2</v>
      </c>
      <c r="AO7" s="193">
        <v>2</v>
      </c>
      <c r="AP7" s="193">
        <v>2</v>
      </c>
      <c r="AQ7" s="177"/>
      <c r="AR7" s="178" t="s">
        <v>100</v>
      </c>
      <c r="AS7" s="178" t="s">
        <v>534</v>
      </c>
      <c r="AT7" s="188"/>
      <c r="AU7" s="188" t="s">
        <v>18</v>
      </c>
      <c r="AV7" s="188"/>
      <c r="AW7" s="188"/>
      <c r="AX7" s="188" t="s">
        <v>18</v>
      </c>
      <c r="AY7" s="188" t="s">
        <v>735</v>
      </c>
      <c r="AZ7" s="595" t="s">
        <v>735</v>
      </c>
      <c r="BA7" s="595" t="s">
        <v>735</v>
      </c>
      <c r="BB7" s="177"/>
      <c r="BC7" s="184">
        <v>2</v>
      </c>
      <c r="BD7" s="184">
        <v>0</v>
      </c>
      <c r="BE7" s="184">
        <v>0.01</v>
      </c>
      <c r="BF7" s="184">
        <v>0</v>
      </c>
      <c r="BG7" s="184">
        <v>0</v>
      </c>
      <c r="BH7" s="184">
        <v>0</v>
      </c>
      <c r="BI7" s="184">
        <v>0</v>
      </c>
      <c r="BJ7" s="184">
        <v>0</v>
      </c>
      <c r="BK7" s="184">
        <v>0</v>
      </c>
      <c r="BL7" s="177"/>
      <c r="BM7" s="194">
        <v>10</v>
      </c>
      <c r="BN7" s="195">
        <v>7543.2500000000009</v>
      </c>
      <c r="BO7" s="195">
        <v>8739.7750000000015</v>
      </c>
      <c r="BP7" s="195">
        <v>12838.375000000002</v>
      </c>
      <c r="BQ7" s="195">
        <v>14125.375000000002</v>
      </c>
      <c r="BR7" s="188">
        <v>15802.875000000002</v>
      </c>
      <c r="BS7" s="188">
        <v>17677</v>
      </c>
      <c r="BT7" s="188"/>
      <c r="BU7" s="188"/>
      <c r="BV7" s="188"/>
      <c r="BW7" s="188"/>
      <c r="BX7" s="188"/>
      <c r="BY7" s="177"/>
      <c r="BZ7" s="245" t="s">
        <v>102</v>
      </c>
      <c r="CA7" s="245" t="s">
        <v>534</v>
      </c>
      <c r="CB7" s="201">
        <v>15</v>
      </c>
      <c r="CC7" s="201">
        <v>11</v>
      </c>
      <c r="CD7" s="201">
        <v>0</v>
      </c>
      <c r="CE7" s="215">
        <v>0</v>
      </c>
      <c r="CF7" s="215">
        <v>13</v>
      </c>
      <c r="CG7" s="215">
        <v>0</v>
      </c>
      <c r="CH7" s="177"/>
      <c r="CI7" s="177"/>
      <c r="CJ7" s="177"/>
      <c r="CK7" s="177"/>
      <c r="CL7" s="177"/>
      <c r="CM7" s="177"/>
      <c r="CN7" s="177"/>
      <c r="CO7" s="177"/>
      <c r="CP7" s="177"/>
      <c r="CQ7" s="177"/>
      <c r="CR7" s="177"/>
      <c r="CS7" s="177"/>
      <c r="CT7" s="177"/>
      <c r="CU7" s="177"/>
      <c r="CV7" s="178"/>
      <c r="CW7" s="178"/>
      <c r="CX7" s="178"/>
      <c r="CY7" s="178"/>
      <c r="CZ7" s="178"/>
      <c r="DA7" s="178"/>
      <c r="DB7" s="178"/>
      <c r="DC7" s="178"/>
      <c r="DD7" s="178"/>
      <c r="DE7" s="178"/>
      <c r="DF7" s="178"/>
      <c r="DG7" s="178"/>
      <c r="DH7" s="178"/>
      <c r="DI7" s="178"/>
      <c r="DJ7" s="178"/>
      <c r="DK7" s="178"/>
      <c r="DL7" s="178"/>
      <c r="DM7" s="178"/>
      <c r="DN7" s="178"/>
    </row>
    <row r="8" spans="1:151">
      <c r="A8" s="177"/>
      <c r="B8" s="178" t="s">
        <v>101</v>
      </c>
      <c r="C8" s="178" t="s">
        <v>534</v>
      </c>
      <c r="D8" s="184">
        <v>48500</v>
      </c>
      <c r="E8" s="184">
        <v>30000</v>
      </c>
      <c r="F8" s="188">
        <v>0</v>
      </c>
      <c r="G8" s="188">
        <v>0</v>
      </c>
      <c r="H8" s="188">
        <v>0</v>
      </c>
      <c r="I8" s="188">
        <v>27930</v>
      </c>
      <c r="J8" s="177"/>
      <c r="K8" s="177"/>
      <c r="L8" s="178" t="s">
        <v>101</v>
      </c>
      <c r="M8" s="178" t="s">
        <v>534</v>
      </c>
      <c r="N8" s="201">
        <v>289.5</v>
      </c>
      <c r="O8" s="201">
        <v>101.25</v>
      </c>
      <c r="P8" s="201">
        <v>0</v>
      </c>
      <c r="Q8" s="202">
        <v>0</v>
      </c>
      <c r="R8" s="202">
        <v>44</v>
      </c>
      <c r="S8" s="217">
        <v>250</v>
      </c>
      <c r="T8" s="343">
        <v>2450</v>
      </c>
      <c r="U8" s="177"/>
      <c r="V8" s="178" t="s">
        <v>101</v>
      </c>
      <c r="W8" s="178" t="s">
        <v>534</v>
      </c>
      <c r="X8" s="193">
        <v>15</v>
      </c>
      <c r="Y8" s="193">
        <v>5.5</v>
      </c>
      <c r="Z8" s="193"/>
      <c r="AA8" s="188"/>
      <c r="AB8" s="188">
        <v>0.25</v>
      </c>
      <c r="AC8" s="193">
        <v>7.8</v>
      </c>
      <c r="AD8" s="193">
        <v>32</v>
      </c>
      <c r="AE8" s="193">
        <v>7.8</v>
      </c>
      <c r="AF8" s="177"/>
      <c r="AG8" s="178" t="s">
        <v>101</v>
      </c>
      <c r="AH8" s="178" t="s">
        <v>534</v>
      </c>
      <c r="AI8" s="193">
        <v>2</v>
      </c>
      <c r="AJ8" s="193">
        <v>1</v>
      </c>
      <c r="AK8" s="193"/>
      <c r="AL8" s="193"/>
      <c r="AM8" s="193"/>
      <c r="AN8" s="193">
        <v>2</v>
      </c>
      <c r="AO8" s="193">
        <v>2</v>
      </c>
      <c r="AP8" s="193">
        <v>2</v>
      </c>
      <c r="AQ8" s="177"/>
      <c r="AR8" s="178" t="s">
        <v>101</v>
      </c>
      <c r="AS8" s="178" t="s">
        <v>534</v>
      </c>
      <c r="AT8" s="188"/>
      <c r="AU8" s="188" t="s">
        <v>18</v>
      </c>
      <c r="AV8" s="188"/>
      <c r="AW8" s="188"/>
      <c r="AX8" s="188" t="s">
        <v>18</v>
      </c>
      <c r="AY8" s="188" t="s">
        <v>735</v>
      </c>
      <c r="AZ8" s="595" t="s">
        <v>735</v>
      </c>
      <c r="BA8" s="595" t="s">
        <v>735</v>
      </c>
      <c r="BB8" s="177"/>
      <c r="BC8" s="184">
        <v>3</v>
      </c>
      <c r="BD8" s="184">
        <v>0</v>
      </c>
      <c r="BE8" s="184">
        <v>0.01</v>
      </c>
      <c r="BF8" s="184">
        <v>0</v>
      </c>
      <c r="BG8" s="184">
        <v>0</v>
      </c>
      <c r="BH8" s="184">
        <v>0</v>
      </c>
      <c r="BI8" s="184">
        <v>0</v>
      </c>
      <c r="BJ8" s="184">
        <v>0</v>
      </c>
      <c r="BK8" s="184">
        <v>0</v>
      </c>
      <c r="BL8" s="177"/>
      <c r="BM8" s="194">
        <v>15</v>
      </c>
      <c r="BN8" s="195">
        <v>9716.0250000000015</v>
      </c>
      <c r="BO8" s="195">
        <v>11576.125000000002</v>
      </c>
      <c r="BP8" s="195">
        <v>14097.875000000002</v>
      </c>
      <c r="BQ8" s="195">
        <v>14950.375000000002</v>
      </c>
      <c r="BR8" s="188">
        <v>23163.250000000004</v>
      </c>
      <c r="BS8" s="188">
        <v>28446.687500000004</v>
      </c>
      <c r="BT8" s="188"/>
      <c r="BU8" s="188"/>
      <c r="BV8" s="188"/>
      <c r="BW8" s="188"/>
      <c r="BX8" s="188"/>
      <c r="BY8" s="177"/>
      <c r="BZ8" s="245" t="s">
        <v>103</v>
      </c>
      <c r="CA8" s="245" t="s">
        <v>534</v>
      </c>
      <c r="CB8" s="201">
        <v>3</v>
      </c>
      <c r="CC8" s="201">
        <v>11</v>
      </c>
      <c r="CD8" s="201">
        <v>0</v>
      </c>
      <c r="CE8" s="215">
        <v>4</v>
      </c>
      <c r="CF8" s="215">
        <v>3</v>
      </c>
      <c r="CG8" s="215">
        <v>2</v>
      </c>
      <c r="CH8" s="177"/>
      <c r="CI8" s="177"/>
      <c r="CJ8" s="177"/>
      <c r="CK8" s="177"/>
      <c r="CL8" s="177"/>
      <c r="CM8" s="177"/>
      <c r="CN8" s="177"/>
      <c r="CO8" s="177"/>
      <c r="CP8" s="177"/>
      <c r="CQ8" s="177"/>
      <c r="CR8" s="177"/>
      <c r="CS8" s="177"/>
      <c r="CT8" s="177"/>
      <c r="CU8" s="177"/>
      <c r="CV8" s="178"/>
      <c r="CW8" s="178"/>
      <c r="CX8" s="178"/>
      <c r="CY8" s="178"/>
      <c r="CZ8" s="178"/>
      <c r="DA8" s="178"/>
      <c r="DB8" s="178"/>
      <c r="DC8" s="178"/>
      <c r="DD8" s="178"/>
      <c r="DE8" s="178"/>
      <c r="DF8" s="178"/>
      <c r="DG8" s="178"/>
      <c r="DH8" s="178"/>
      <c r="DI8" s="178"/>
      <c r="DJ8" s="178"/>
      <c r="DK8" s="178"/>
      <c r="DL8" s="178"/>
      <c r="DM8" s="178"/>
      <c r="DN8" s="178"/>
    </row>
    <row r="9" spans="1:151">
      <c r="A9" s="177"/>
      <c r="B9" s="178" t="s">
        <v>102</v>
      </c>
      <c r="C9" s="178" t="s">
        <v>534</v>
      </c>
      <c r="D9" s="184">
        <v>98500</v>
      </c>
      <c r="E9" s="184">
        <v>38000</v>
      </c>
      <c r="F9" s="188">
        <v>0</v>
      </c>
      <c r="G9" s="188">
        <v>64100</v>
      </c>
      <c r="H9" s="188">
        <v>0</v>
      </c>
      <c r="I9" s="188">
        <v>33400</v>
      </c>
      <c r="J9" s="177"/>
      <c r="K9" s="177"/>
      <c r="L9" s="178" t="s">
        <v>102</v>
      </c>
      <c r="M9" s="178" t="s">
        <v>534</v>
      </c>
      <c r="N9" s="201">
        <v>350</v>
      </c>
      <c r="O9" s="201">
        <v>101.5</v>
      </c>
      <c r="P9" s="201">
        <v>0</v>
      </c>
      <c r="Q9" s="217">
        <v>220</v>
      </c>
      <c r="R9" s="202">
        <v>25.25</v>
      </c>
      <c r="S9" s="217">
        <v>350</v>
      </c>
      <c r="T9" s="343">
        <v>2450</v>
      </c>
      <c r="U9" s="177"/>
      <c r="V9" s="178" t="s">
        <v>102</v>
      </c>
      <c r="W9" s="178" t="s">
        <v>534</v>
      </c>
      <c r="X9" s="193">
        <v>17</v>
      </c>
      <c r="Y9" s="193">
        <v>5.5</v>
      </c>
      <c r="Z9" s="193"/>
      <c r="AA9" s="188">
        <v>1.2</v>
      </c>
      <c r="AB9" s="188">
        <v>0.25</v>
      </c>
      <c r="AC9" s="193">
        <v>9.1999999999999993</v>
      </c>
      <c r="AD9" s="193">
        <v>43.5</v>
      </c>
      <c r="AE9" s="193">
        <v>9.1999999999999993</v>
      </c>
      <c r="AF9" s="177"/>
      <c r="AG9" s="178" t="s">
        <v>102</v>
      </c>
      <c r="AH9" s="178" t="s">
        <v>534</v>
      </c>
      <c r="AI9" s="193">
        <v>2</v>
      </c>
      <c r="AJ9" s="193">
        <v>1</v>
      </c>
      <c r="AK9" s="193"/>
      <c r="AL9" s="193">
        <v>3</v>
      </c>
      <c r="AM9" s="193"/>
      <c r="AN9" s="193">
        <v>2</v>
      </c>
      <c r="AO9" s="193">
        <v>3</v>
      </c>
      <c r="AP9" s="193">
        <v>3</v>
      </c>
      <c r="AQ9" s="177"/>
      <c r="AR9" s="178" t="s">
        <v>102</v>
      </c>
      <c r="AS9" s="178" t="s">
        <v>534</v>
      </c>
      <c r="AT9" s="188"/>
      <c r="AU9" s="188" t="s">
        <v>18</v>
      </c>
      <c r="AV9" s="188"/>
      <c r="AW9" s="188"/>
      <c r="AX9" s="188" t="s">
        <v>18</v>
      </c>
      <c r="AY9" s="188" t="s">
        <v>735</v>
      </c>
      <c r="AZ9" s="595" t="s">
        <v>735</v>
      </c>
      <c r="BA9" s="595" t="s">
        <v>735</v>
      </c>
      <c r="BB9" s="177"/>
      <c r="BC9" s="184" t="s">
        <v>461</v>
      </c>
      <c r="BD9" s="184">
        <v>0.01</v>
      </c>
      <c r="BE9" s="184">
        <v>0.02</v>
      </c>
      <c r="BF9" s="184">
        <v>0</v>
      </c>
      <c r="BG9" s="184">
        <v>0.01</v>
      </c>
      <c r="BH9" s="184">
        <v>0</v>
      </c>
      <c r="BI9" s="184">
        <v>0.01</v>
      </c>
      <c r="BJ9" s="184">
        <v>0</v>
      </c>
      <c r="BK9" s="184">
        <v>0.01</v>
      </c>
      <c r="BL9" s="177"/>
      <c r="BM9" s="194">
        <v>30</v>
      </c>
      <c r="BN9" s="195">
        <v>12634.875000000002</v>
      </c>
      <c r="BO9" s="195">
        <v>13868.250000000002</v>
      </c>
      <c r="BP9" s="195">
        <v>15866.125000000002</v>
      </c>
      <c r="BQ9" s="195">
        <v>16608.625</v>
      </c>
      <c r="BR9" s="188">
        <v>30616.666666666668</v>
      </c>
      <c r="BS9" s="188">
        <v>33660</v>
      </c>
      <c r="BT9" s="188"/>
      <c r="BU9" s="188"/>
      <c r="BV9" s="188"/>
      <c r="BW9" s="188"/>
      <c r="BX9" s="188"/>
      <c r="BY9" s="177"/>
      <c r="BZ9" s="245" t="s">
        <v>105</v>
      </c>
      <c r="CA9" s="245" t="s">
        <v>104</v>
      </c>
      <c r="CB9" s="201">
        <v>0</v>
      </c>
      <c r="CC9" s="201">
        <v>0</v>
      </c>
      <c r="CD9" s="201">
        <v>0</v>
      </c>
      <c r="CE9" s="215">
        <v>0</v>
      </c>
      <c r="CF9" s="215">
        <v>0</v>
      </c>
      <c r="CG9" s="215">
        <v>0</v>
      </c>
      <c r="CH9" s="177"/>
      <c r="CI9" s="177"/>
      <c r="CJ9" s="177"/>
      <c r="CK9" s="177"/>
      <c r="CL9" s="177"/>
      <c r="CM9" s="177"/>
      <c r="CN9" s="177"/>
      <c r="CO9" s="177"/>
      <c r="CP9" s="177"/>
      <c r="CQ9" s="177"/>
      <c r="CR9" s="177"/>
      <c r="CS9" s="177"/>
      <c r="CT9" s="177"/>
      <c r="CU9" s="177"/>
      <c r="CV9" s="178"/>
      <c r="CW9" s="178"/>
      <c r="CX9" s="178"/>
      <c r="CY9" s="178"/>
      <c r="CZ9" s="178"/>
      <c r="DA9" s="178"/>
      <c r="DB9" s="178"/>
      <c r="DC9" s="178"/>
      <c r="DD9" s="178"/>
      <c r="DE9" s="178"/>
      <c r="DF9" s="178"/>
      <c r="DG9" s="178"/>
      <c r="DH9" s="178"/>
      <c r="DI9" s="178"/>
      <c r="DJ9" s="178"/>
      <c r="DK9" s="178"/>
      <c r="DL9" s="178"/>
      <c r="DM9" s="178"/>
      <c r="DN9" s="178"/>
    </row>
    <row r="10" spans="1:151">
      <c r="A10" s="177"/>
      <c r="B10" s="178" t="s">
        <v>103</v>
      </c>
      <c r="C10" s="178" t="s">
        <v>534</v>
      </c>
      <c r="D10" s="184">
        <v>105900</v>
      </c>
      <c r="E10" s="184">
        <v>38000</v>
      </c>
      <c r="F10" s="188">
        <v>0</v>
      </c>
      <c r="G10" s="188">
        <v>64100</v>
      </c>
      <c r="H10" s="188">
        <v>0</v>
      </c>
      <c r="I10" s="188">
        <v>33400</v>
      </c>
      <c r="J10" s="177"/>
      <c r="K10" s="177"/>
      <c r="L10" s="178" t="s">
        <v>103</v>
      </c>
      <c r="M10" s="178" t="s">
        <v>534</v>
      </c>
      <c r="N10" s="201">
        <v>351.5</v>
      </c>
      <c r="O10" s="201">
        <v>83.75</v>
      </c>
      <c r="P10" s="201">
        <v>0</v>
      </c>
      <c r="Q10" s="217">
        <v>328.5</v>
      </c>
      <c r="R10" s="202">
        <v>28.75</v>
      </c>
      <c r="S10" s="217">
        <v>271</v>
      </c>
      <c r="T10" s="343">
        <v>2450</v>
      </c>
      <c r="U10" s="177"/>
      <c r="V10" s="178" t="s">
        <v>103</v>
      </c>
      <c r="W10" s="178" t="s">
        <v>534</v>
      </c>
      <c r="X10" s="193">
        <v>18</v>
      </c>
      <c r="Y10" s="193">
        <v>8.9</v>
      </c>
      <c r="Z10" s="193"/>
      <c r="AA10" s="188">
        <v>1.2</v>
      </c>
      <c r="AB10" s="188">
        <v>0.25</v>
      </c>
      <c r="AC10" s="193">
        <v>9.1999999999999993</v>
      </c>
      <c r="AD10" s="193">
        <v>43.5</v>
      </c>
      <c r="AE10" s="193">
        <v>9.1999999999999993</v>
      </c>
      <c r="AF10" s="177"/>
      <c r="AG10" s="178" t="s">
        <v>103</v>
      </c>
      <c r="AH10" s="178" t="s">
        <v>534</v>
      </c>
      <c r="AI10" s="193">
        <v>3</v>
      </c>
      <c r="AJ10" s="193">
        <v>1</v>
      </c>
      <c r="AK10" s="193"/>
      <c r="AL10" s="193">
        <v>3</v>
      </c>
      <c r="AM10" s="193"/>
      <c r="AN10" s="193">
        <v>2</v>
      </c>
      <c r="AO10" s="193">
        <v>3</v>
      </c>
      <c r="AP10" s="193">
        <v>3</v>
      </c>
      <c r="AQ10" s="177"/>
      <c r="AR10" s="178" t="s">
        <v>103</v>
      </c>
      <c r="AS10" s="178" t="s">
        <v>534</v>
      </c>
      <c r="AT10" s="188"/>
      <c r="AU10" s="188" t="s">
        <v>18</v>
      </c>
      <c r="AV10" s="188"/>
      <c r="AW10" s="188"/>
      <c r="AX10" s="188" t="s">
        <v>18</v>
      </c>
      <c r="AY10" s="188" t="s">
        <v>735</v>
      </c>
      <c r="AZ10" s="595" t="s">
        <v>735</v>
      </c>
      <c r="BA10" s="595" t="s">
        <v>735</v>
      </c>
      <c r="BB10" s="177"/>
      <c r="BC10" s="184">
        <v>5</v>
      </c>
      <c r="BD10" s="184">
        <v>0.01</v>
      </c>
      <c r="BE10" s="184">
        <v>0.02</v>
      </c>
      <c r="BF10" s="184">
        <v>0</v>
      </c>
      <c r="BG10" s="184">
        <v>0.01</v>
      </c>
      <c r="BH10" s="184">
        <v>0</v>
      </c>
      <c r="BI10" s="184">
        <v>0.01</v>
      </c>
      <c r="BJ10" s="184">
        <v>0</v>
      </c>
      <c r="BK10" s="184">
        <v>0.01</v>
      </c>
      <c r="BL10" s="177"/>
      <c r="BM10" s="194">
        <v>35</v>
      </c>
      <c r="BN10" s="195">
        <v>13047.375000000002</v>
      </c>
      <c r="BO10" s="195">
        <v>14620.375000000002</v>
      </c>
      <c r="BP10" s="195">
        <v>15866.125000000002</v>
      </c>
      <c r="BQ10" s="195">
        <v>27168.625000000004</v>
      </c>
      <c r="BR10" s="188">
        <v>32083.333333333336</v>
      </c>
      <c r="BS10" s="188">
        <v>44440</v>
      </c>
      <c r="BT10" s="188"/>
      <c r="BU10" s="188"/>
      <c r="BV10" s="188"/>
      <c r="BW10" s="188"/>
      <c r="BX10" s="188"/>
      <c r="BY10" s="177"/>
      <c r="BZ10" s="245" t="s">
        <v>107</v>
      </c>
      <c r="CA10" s="245" t="s">
        <v>106</v>
      </c>
      <c r="CB10" s="201">
        <v>0</v>
      </c>
      <c r="CC10" s="201">
        <v>1</v>
      </c>
      <c r="CD10" s="201">
        <v>0</v>
      </c>
      <c r="CE10" s="215">
        <v>4</v>
      </c>
      <c r="CF10" s="215">
        <v>2</v>
      </c>
      <c r="CG10" s="215">
        <v>4</v>
      </c>
      <c r="CH10" s="177"/>
      <c r="CI10" s="177"/>
      <c r="CJ10" s="177"/>
      <c r="CK10" s="177"/>
      <c r="CL10" s="177"/>
      <c r="CM10" s="177"/>
      <c r="CN10" s="177"/>
      <c r="CO10" s="177"/>
      <c r="CP10" s="177"/>
      <c r="CQ10" s="177"/>
      <c r="CR10" s="177"/>
      <c r="CS10" s="177"/>
      <c r="CT10" s="177"/>
      <c r="CU10" s="177"/>
      <c r="CV10" s="178"/>
      <c r="CW10" s="178"/>
      <c r="CX10" s="178"/>
      <c r="CY10" s="178"/>
      <c r="CZ10" s="178"/>
      <c r="DA10" s="178"/>
      <c r="DB10" s="178"/>
      <c r="DC10" s="178"/>
      <c r="DD10" s="178"/>
      <c r="DE10" s="178"/>
      <c r="DF10" s="178"/>
      <c r="DG10" s="178"/>
      <c r="DH10" s="178"/>
      <c r="DI10" s="178"/>
      <c r="DJ10" s="178"/>
      <c r="DK10" s="178"/>
      <c r="DL10" s="178"/>
      <c r="DM10" s="178"/>
      <c r="DN10" s="178"/>
    </row>
    <row r="11" spans="1:151">
      <c r="A11" s="177"/>
      <c r="B11" s="178" t="s">
        <v>105</v>
      </c>
      <c r="C11" s="178" t="s">
        <v>104</v>
      </c>
      <c r="D11" s="184">
        <v>0</v>
      </c>
      <c r="E11" s="184">
        <v>0</v>
      </c>
      <c r="F11" s="188">
        <v>0</v>
      </c>
      <c r="G11" s="188">
        <v>0</v>
      </c>
      <c r="H11" s="188">
        <v>0</v>
      </c>
      <c r="I11" s="188">
        <v>0</v>
      </c>
      <c r="J11" s="177"/>
      <c r="K11" s="177"/>
      <c r="L11" s="178" t="s">
        <v>105</v>
      </c>
      <c r="M11" s="178" t="s">
        <v>104</v>
      </c>
      <c r="N11" s="201">
        <v>0</v>
      </c>
      <c r="O11" s="201">
        <v>0</v>
      </c>
      <c r="P11" s="201">
        <v>0</v>
      </c>
      <c r="Q11" s="202">
        <v>0</v>
      </c>
      <c r="R11" s="202">
        <v>0</v>
      </c>
      <c r="S11" s="202">
        <v>0</v>
      </c>
      <c r="T11" s="343">
        <v>2450</v>
      </c>
      <c r="U11" s="177"/>
      <c r="V11" s="178" t="s">
        <v>105</v>
      </c>
      <c r="W11" s="178" t="s">
        <v>104</v>
      </c>
      <c r="X11" s="193">
        <v>0</v>
      </c>
      <c r="Y11" s="193"/>
      <c r="Z11" s="193"/>
      <c r="AA11" s="188"/>
      <c r="AB11" s="188"/>
      <c r="AC11" s="193"/>
      <c r="AD11" s="193"/>
      <c r="AE11" s="193"/>
      <c r="AF11" s="177"/>
      <c r="AG11" s="178" t="s">
        <v>105</v>
      </c>
      <c r="AH11" s="178" t="s">
        <v>104</v>
      </c>
      <c r="AI11" s="193"/>
      <c r="AJ11" s="193"/>
      <c r="AK11" s="193"/>
      <c r="AL11" s="193"/>
      <c r="AM11" s="193"/>
      <c r="AN11" s="193"/>
      <c r="AO11" s="193"/>
      <c r="AP11" s="193"/>
      <c r="AQ11" s="177"/>
      <c r="AR11" s="178" t="s">
        <v>105</v>
      </c>
      <c r="AS11" s="178" t="s">
        <v>104</v>
      </c>
      <c r="AT11" s="188"/>
      <c r="AU11" s="188"/>
      <c r="AV11" s="188"/>
      <c r="AW11" s="188"/>
      <c r="AX11" s="188"/>
      <c r="AY11" s="188"/>
      <c r="AZ11" s="595" t="s">
        <v>735</v>
      </c>
      <c r="BA11" s="595"/>
      <c r="BB11" s="177"/>
      <c r="BC11" s="184" t="s">
        <v>462</v>
      </c>
      <c r="BD11" s="184">
        <v>0.02</v>
      </c>
      <c r="BE11" s="184">
        <v>0.03</v>
      </c>
      <c r="BF11" s="184">
        <v>0</v>
      </c>
      <c r="BG11" s="184">
        <v>0.01</v>
      </c>
      <c r="BH11" s="184">
        <v>0</v>
      </c>
      <c r="BI11" s="184">
        <v>0.01</v>
      </c>
      <c r="BJ11" s="184">
        <v>0</v>
      </c>
      <c r="BK11" s="184">
        <v>0.01</v>
      </c>
      <c r="BL11" s="177"/>
      <c r="BM11" s="194">
        <v>50</v>
      </c>
      <c r="BN11" s="195">
        <v>21656.25</v>
      </c>
      <c r="BO11" s="195">
        <v>22961.125000000004</v>
      </c>
      <c r="BP11" s="195">
        <v>26261.125000000004</v>
      </c>
      <c r="BQ11" s="195">
        <v>34210</v>
      </c>
      <c r="BR11" s="188">
        <v>61985.000000000007</v>
      </c>
      <c r="BS11" s="188">
        <v>63085.000000000007</v>
      </c>
      <c r="BT11" s="188"/>
      <c r="BU11" s="188"/>
      <c r="BV11" s="188"/>
      <c r="BW11" s="188"/>
      <c r="BX11" s="188"/>
      <c r="BY11" s="177"/>
      <c r="BZ11" s="245" t="s">
        <v>108</v>
      </c>
      <c r="CA11" s="245" t="s">
        <v>106</v>
      </c>
      <c r="CB11" s="201">
        <v>9</v>
      </c>
      <c r="CC11" s="201">
        <v>5</v>
      </c>
      <c r="CD11" s="201">
        <v>0</v>
      </c>
      <c r="CE11" s="215">
        <v>4</v>
      </c>
      <c r="CF11" s="215">
        <v>41</v>
      </c>
      <c r="CG11" s="215">
        <v>20</v>
      </c>
      <c r="CH11" s="177"/>
      <c r="CI11" s="177"/>
      <c r="CJ11" s="177"/>
      <c r="CK11" s="177"/>
      <c r="CL11" s="177"/>
      <c r="CM11" s="177"/>
      <c r="CN11" s="177"/>
      <c r="CO11" s="177"/>
      <c r="CP11" s="177"/>
      <c r="CQ11" s="177"/>
      <c r="CR11" s="177"/>
      <c r="CS11" s="177"/>
      <c r="CT11" s="177"/>
      <c r="CU11" s="177"/>
      <c r="CV11" s="178"/>
      <c r="CW11" s="178"/>
      <c r="CX11" s="178"/>
      <c r="CY11" s="178"/>
      <c r="CZ11" s="178"/>
      <c r="DA11" s="178"/>
      <c r="DB11" s="178"/>
      <c r="DC11" s="178"/>
      <c r="DD11" s="178"/>
      <c r="DE11" s="178"/>
      <c r="DF11" s="178"/>
      <c r="DG11" s="178"/>
      <c r="DH11" s="178"/>
      <c r="DI11" s="178"/>
      <c r="DJ11" s="178"/>
      <c r="DK11" s="178"/>
      <c r="DL11" s="178"/>
      <c r="DM11" s="178"/>
      <c r="DN11" s="178"/>
    </row>
    <row r="12" spans="1:151">
      <c r="A12" s="177"/>
      <c r="B12" s="178" t="s">
        <v>107</v>
      </c>
      <c r="C12" s="178" t="s">
        <v>106</v>
      </c>
      <c r="D12" s="184">
        <v>59850</v>
      </c>
      <c r="E12" s="184">
        <v>55000</v>
      </c>
      <c r="F12" s="188">
        <v>0</v>
      </c>
      <c r="G12" s="188">
        <v>19000</v>
      </c>
      <c r="H12" s="188">
        <v>0</v>
      </c>
      <c r="I12" s="188">
        <v>21500</v>
      </c>
      <c r="J12" s="177"/>
      <c r="K12" s="177"/>
      <c r="L12" s="178" t="s">
        <v>107</v>
      </c>
      <c r="M12" s="178" t="s">
        <v>106</v>
      </c>
      <c r="N12" s="201">
        <v>267</v>
      </c>
      <c r="O12" s="201">
        <v>60</v>
      </c>
      <c r="P12" s="201">
        <v>0</v>
      </c>
      <c r="Q12" s="202">
        <v>269.5</v>
      </c>
      <c r="R12" s="202">
        <v>40</v>
      </c>
      <c r="S12" s="202">
        <v>176.5</v>
      </c>
      <c r="T12" s="343">
        <v>2450</v>
      </c>
      <c r="U12" s="177"/>
      <c r="V12" s="178" t="s">
        <v>107</v>
      </c>
      <c r="W12" s="178" t="s">
        <v>106</v>
      </c>
      <c r="X12" s="193">
        <v>9</v>
      </c>
      <c r="Y12" s="193">
        <v>3.8</v>
      </c>
      <c r="Z12" s="193"/>
      <c r="AA12" s="188">
        <v>1</v>
      </c>
      <c r="AB12" s="188">
        <v>0.2</v>
      </c>
      <c r="AC12" s="193">
        <v>7.6</v>
      </c>
      <c r="AD12" s="193">
        <v>27.5</v>
      </c>
      <c r="AE12" s="193">
        <v>4</v>
      </c>
      <c r="AF12" s="177"/>
      <c r="AG12" s="178" t="s">
        <v>107</v>
      </c>
      <c r="AH12" s="178" t="s">
        <v>106</v>
      </c>
      <c r="AI12" s="193">
        <v>2</v>
      </c>
      <c r="AJ12" s="193">
        <v>1</v>
      </c>
      <c r="AK12" s="193"/>
      <c r="AL12" s="193">
        <v>1</v>
      </c>
      <c r="AM12" s="193"/>
      <c r="AN12" s="193">
        <v>2</v>
      </c>
      <c r="AO12" s="193">
        <v>2</v>
      </c>
      <c r="AP12" s="193">
        <v>2</v>
      </c>
      <c r="AQ12" s="177"/>
      <c r="AR12" s="178" t="s">
        <v>107</v>
      </c>
      <c r="AS12" s="178" t="s">
        <v>106</v>
      </c>
      <c r="AT12" s="188" t="s">
        <v>15</v>
      </c>
      <c r="AU12" s="188" t="s">
        <v>18</v>
      </c>
      <c r="AV12" s="188"/>
      <c r="AW12" s="188"/>
      <c r="AX12" s="188" t="s">
        <v>18</v>
      </c>
      <c r="AY12" s="188" t="s">
        <v>735</v>
      </c>
      <c r="AZ12" s="595" t="s">
        <v>735</v>
      </c>
      <c r="BA12" s="595" t="s">
        <v>735</v>
      </c>
      <c r="BB12" s="177"/>
      <c r="BC12" s="184" t="s">
        <v>463</v>
      </c>
      <c r="BD12" s="184">
        <v>0.02</v>
      </c>
      <c r="BE12" s="184">
        <v>0.03</v>
      </c>
      <c r="BF12" s="184">
        <v>0.01</v>
      </c>
      <c r="BG12" s="184">
        <v>0.01</v>
      </c>
      <c r="BH12" s="184">
        <v>0.01</v>
      </c>
      <c r="BI12" s="184">
        <v>0.01</v>
      </c>
      <c r="BJ12" s="184">
        <v>0.01</v>
      </c>
      <c r="BK12" s="184">
        <v>0.01</v>
      </c>
      <c r="BL12" s="177"/>
      <c r="BM12" s="194"/>
      <c r="BN12" s="195"/>
      <c r="BO12" s="195"/>
      <c r="BP12" s="195"/>
      <c r="BQ12" s="195"/>
      <c r="BR12" s="188"/>
      <c r="BS12" s="188"/>
      <c r="BT12" s="188"/>
      <c r="BU12" s="188"/>
      <c r="BV12" s="188"/>
      <c r="BW12" s="188"/>
      <c r="BX12" s="188"/>
      <c r="BY12" s="177"/>
      <c r="BZ12" s="245" t="s">
        <v>109</v>
      </c>
      <c r="CA12" s="245" t="s">
        <v>106</v>
      </c>
      <c r="CB12" s="201">
        <v>0</v>
      </c>
      <c r="CC12" s="201">
        <v>0</v>
      </c>
      <c r="CD12" s="201">
        <v>0</v>
      </c>
      <c r="CE12" s="215">
        <v>0</v>
      </c>
      <c r="CF12" s="215">
        <v>0</v>
      </c>
      <c r="CG12" s="215">
        <v>0</v>
      </c>
      <c r="CH12" s="177"/>
      <c r="CI12" s="177"/>
      <c r="CJ12" s="177"/>
      <c r="CK12" s="177"/>
      <c r="CL12" s="177"/>
      <c r="CM12" s="177"/>
      <c r="CN12" s="177"/>
      <c r="CO12" s="177"/>
      <c r="CP12" s="177"/>
      <c r="CQ12" s="177"/>
      <c r="CR12" s="177"/>
      <c r="CS12" s="177"/>
      <c r="CT12" s="177"/>
      <c r="CU12" s="177"/>
      <c r="CV12" s="178"/>
      <c r="CW12" s="178"/>
      <c r="CX12" s="178"/>
      <c r="CY12" s="178"/>
      <c r="CZ12" s="178"/>
      <c r="DA12" s="178"/>
      <c r="DB12" s="178"/>
      <c r="DC12" s="178"/>
      <c r="DD12" s="178"/>
      <c r="DE12" s="178"/>
      <c r="DF12" s="178"/>
      <c r="DG12" s="178"/>
      <c r="DH12" s="178"/>
      <c r="DI12" s="178"/>
      <c r="DJ12" s="178"/>
      <c r="DK12" s="178"/>
      <c r="DL12" s="178"/>
      <c r="DM12" s="178"/>
      <c r="DN12" s="178"/>
    </row>
    <row r="13" spans="1:151">
      <c r="A13" s="177"/>
      <c r="B13" s="178" t="s">
        <v>108</v>
      </c>
      <c r="C13" s="178" t="s">
        <v>106</v>
      </c>
      <c r="D13" s="184">
        <v>59850</v>
      </c>
      <c r="E13" s="184">
        <v>61000</v>
      </c>
      <c r="F13" s="188">
        <v>0</v>
      </c>
      <c r="G13" s="188">
        <v>19000</v>
      </c>
      <c r="H13" s="188">
        <v>0</v>
      </c>
      <c r="I13" s="188">
        <v>34700</v>
      </c>
      <c r="J13" s="177"/>
      <c r="K13" s="177"/>
      <c r="L13" s="178" t="s">
        <v>108</v>
      </c>
      <c r="M13" s="178" t="s">
        <v>106</v>
      </c>
      <c r="N13" s="201">
        <v>311</v>
      </c>
      <c r="O13" s="201">
        <v>60</v>
      </c>
      <c r="P13" s="201">
        <v>0</v>
      </c>
      <c r="Q13" s="217">
        <v>227.25</v>
      </c>
      <c r="R13" s="202">
        <v>40</v>
      </c>
      <c r="S13" s="217">
        <v>319.75</v>
      </c>
      <c r="T13" s="343">
        <v>2450</v>
      </c>
      <c r="U13" s="177"/>
      <c r="V13" s="178" t="s">
        <v>108</v>
      </c>
      <c r="W13" s="178" t="s">
        <v>106</v>
      </c>
      <c r="X13" s="193">
        <v>9.75</v>
      </c>
      <c r="Y13" s="193">
        <v>6.8</v>
      </c>
      <c r="Z13" s="193"/>
      <c r="AA13" s="188">
        <v>1</v>
      </c>
      <c r="AB13" s="188">
        <v>0.2</v>
      </c>
      <c r="AC13" s="193">
        <v>7.6</v>
      </c>
      <c r="AD13" s="193">
        <v>34.5</v>
      </c>
      <c r="AE13" s="193">
        <v>6</v>
      </c>
      <c r="AF13" s="177"/>
      <c r="AG13" s="178" t="s">
        <v>108</v>
      </c>
      <c r="AH13" s="178" t="s">
        <v>106</v>
      </c>
      <c r="AI13" s="193">
        <v>2</v>
      </c>
      <c r="AJ13" s="193">
        <v>1</v>
      </c>
      <c r="AK13" s="193"/>
      <c r="AL13" s="193">
        <v>1</v>
      </c>
      <c r="AM13" s="193"/>
      <c r="AN13" s="193">
        <v>2</v>
      </c>
      <c r="AO13" s="193">
        <v>2</v>
      </c>
      <c r="AP13" s="193">
        <v>2</v>
      </c>
      <c r="AQ13" s="177"/>
      <c r="AR13" s="178" t="s">
        <v>108</v>
      </c>
      <c r="AS13" s="178" t="s">
        <v>106</v>
      </c>
      <c r="AT13" s="188" t="s">
        <v>15</v>
      </c>
      <c r="AU13" s="188" t="s">
        <v>18</v>
      </c>
      <c r="AV13" s="188"/>
      <c r="AW13" s="188"/>
      <c r="AX13" s="188" t="s">
        <v>18</v>
      </c>
      <c r="AY13" s="188" t="s">
        <v>735</v>
      </c>
      <c r="AZ13" s="595" t="s">
        <v>735</v>
      </c>
      <c r="BA13" s="595" t="s">
        <v>735</v>
      </c>
      <c r="BB13" s="177"/>
      <c r="BC13" s="184">
        <v>8</v>
      </c>
      <c r="BD13" s="184">
        <v>0.02</v>
      </c>
      <c r="BE13" s="184">
        <v>0.04</v>
      </c>
      <c r="BF13" s="184">
        <v>0.01</v>
      </c>
      <c r="BG13" s="184">
        <v>0.01</v>
      </c>
      <c r="BH13" s="184">
        <v>0.01</v>
      </c>
      <c r="BI13" s="184">
        <v>0.01</v>
      </c>
      <c r="BJ13" s="184">
        <v>0.01</v>
      </c>
      <c r="BK13" s="184">
        <v>0.01</v>
      </c>
      <c r="BL13" s="177"/>
      <c r="BM13" s="194"/>
      <c r="BN13" s="195"/>
      <c r="BO13" s="195"/>
      <c r="BP13" s="195"/>
      <c r="BQ13" s="195"/>
      <c r="BR13" s="188"/>
      <c r="BS13" s="188"/>
      <c r="BT13" s="188"/>
      <c r="BU13" s="188"/>
      <c r="BV13" s="188"/>
      <c r="BW13" s="188"/>
      <c r="BX13" s="188"/>
      <c r="BY13" s="177"/>
      <c r="BZ13" s="245" t="s">
        <v>110</v>
      </c>
      <c r="CA13" s="245" t="s">
        <v>106</v>
      </c>
      <c r="CB13" s="201">
        <v>0</v>
      </c>
      <c r="CC13" s="201">
        <v>0</v>
      </c>
      <c r="CD13" s="201">
        <v>0</v>
      </c>
      <c r="CE13" s="215">
        <v>0</v>
      </c>
      <c r="CF13" s="215">
        <v>0</v>
      </c>
      <c r="CG13" s="215">
        <v>0</v>
      </c>
      <c r="CH13" s="177"/>
      <c r="CI13" s="177"/>
      <c r="CJ13" s="177"/>
      <c r="CK13" s="177"/>
      <c r="CL13" s="177"/>
      <c r="CM13" s="177"/>
      <c r="CN13" s="177"/>
      <c r="CO13" s="177"/>
      <c r="CP13" s="177"/>
      <c r="CQ13" s="177"/>
      <c r="CR13" s="177"/>
      <c r="CS13" s="177"/>
      <c r="CT13" s="177"/>
      <c r="CU13" s="177"/>
      <c r="CV13" s="178"/>
      <c r="CW13" s="178"/>
      <c r="CX13" s="178"/>
      <c r="CY13" s="178"/>
      <c r="CZ13" s="178"/>
      <c r="DA13" s="178"/>
      <c r="DB13" s="178"/>
      <c r="DC13" s="178"/>
      <c r="DD13" s="178"/>
      <c r="DE13" s="178"/>
      <c r="DF13" s="178"/>
      <c r="DG13" s="178"/>
      <c r="DH13" s="178"/>
      <c r="DI13" s="178"/>
      <c r="DJ13" s="178"/>
      <c r="DK13" s="178"/>
      <c r="DL13" s="178"/>
      <c r="DM13" s="178"/>
      <c r="DN13" s="178"/>
    </row>
    <row r="14" spans="1:151">
      <c r="A14" s="177"/>
      <c r="B14" s="178" t="s">
        <v>109</v>
      </c>
      <c r="C14" s="178" t="s">
        <v>106</v>
      </c>
      <c r="D14" s="433">
        <v>59850</v>
      </c>
      <c r="E14" s="433">
        <v>61000</v>
      </c>
      <c r="F14" s="188">
        <v>0</v>
      </c>
      <c r="G14" s="188">
        <v>19000</v>
      </c>
      <c r="H14" s="188">
        <v>0</v>
      </c>
      <c r="I14" s="188">
        <v>21500</v>
      </c>
      <c r="J14" s="177"/>
      <c r="K14" s="177"/>
      <c r="L14" s="178" t="s">
        <v>109</v>
      </c>
      <c r="M14" s="178" t="s">
        <v>106</v>
      </c>
      <c r="N14" s="201">
        <v>0</v>
      </c>
      <c r="O14" s="201">
        <v>0</v>
      </c>
      <c r="P14" s="201">
        <v>0</v>
      </c>
      <c r="Q14" s="202">
        <v>0</v>
      </c>
      <c r="R14" s="202">
        <v>0</v>
      </c>
      <c r="S14" s="202">
        <v>0</v>
      </c>
      <c r="T14" s="343">
        <v>2450</v>
      </c>
      <c r="U14" s="177"/>
      <c r="V14" s="178" t="s">
        <v>109</v>
      </c>
      <c r="W14" s="178" t="s">
        <v>106</v>
      </c>
      <c r="X14" s="193">
        <v>0</v>
      </c>
      <c r="Y14" s="193"/>
      <c r="Z14" s="193"/>
      <c r="AA14" s="188"/>
      <c r="AB14" s="188"/>
      <c r="AC14" s="193"/>
      <c r="AD14" s="193"/>
      <c r="AE14" s="193"/>
      <c r="AF14" s="177"/>
      <c r="AG14" s="178" t="s">
        <v>109</v>
      </c>
      <c r="AH14" s="178" t="s">
        <v>106</v>
      </c>
      <c r="AI14" s="193"/>
      <c r="AJ14" s="193">
        <v>1</v>
      </c>
      <c r="AK14" s="193"/>
      <c r="AL14" s="193"/>
      <c r="AM14" s="193"/>
      <c r="AN14" s="193">
        <v>1</v>
      </c>
      <c r="AO14" s="193"/>
      <c r="AP14" s="193"/>
      <c r="AQ14" s="177"/>
      <c r="AR14" s="178" t="s">
        <v>109</v>
      </c>
      <c r="AS14" s="178" t="s">
        <v>106</v>
      </c>
      <c r="AT14" s="188" t="s">
        <v>15</v>
      </c>
      <c r="AU14" s="188" t="s">
        <v>18</v>
      </c>
      <c r="AV14" s="188"/>
      <c r="AW14" s="188"/>
      <c r="AX14" s="188" t="s">
        <v>18</v>
      </c>
      <c r="AY14" s="188" t="s">
        <v>735</v>
      </c>
      <c r="AZ14" s="595" t="s">
        <v>735</v>
      </c>
      <c r="BA14" s="595"/>
      <c r="BB14" s="177"/>
      <c r="BC14" s="184" t="s">
        <v>464</v>
      </c>
      <c r="BD14" s="184">
        <v>0.03</v>
      </c>
      <c r="BE14" s="184">
        <v>0.04</v>
      </c>
      <c r="BF14" s="184">
        <v>0.01</v>
      </c>
      <c r="BG14" s="184">
        <v>0.01</v>
      </c>
      <c r="BH14" s="184">
        <v>0.01</v>
      </c>
      <c r="BI14" s="184">
        <v>0.01</v>
      </c>
      <c r="BJ14" s="184">
        <v>0.01</v>
      </c>
      <c r="BK14" s="184">
        <v>0.01</v>
      </c>
      <c r="BL14" s="177"/>
      <c r="BM14" s="194"/>
      <c r="BN14" s="195"/>
      <c r="BO14" s="195"/>
      <c r="BP14" s="195"/>
      <c r="BQ14" s="195"/>
      <c r="BR14" s="188"/>
      <c r="BS14" s="188"/>
      <c r="BT14" s="188"/>
      <c r="BU14" s="188"/>
      <c r="BV14" s="188"/>
      <c r="BW14" s="188"/>
      <c r="BX14" s="188"/>
      <c r="BY14" s="177"/>
      <c r="BZ14" s="245" t="s">
        <v>111</v>
      </c>
      <c r="CA14" s="245" t="s">
        <v>106</v>
      </c>
      <c r="CB14" s="201">
        <v>0</v>
      </c>
      <c r="CC14" s="201">
        <v>7</v>
      </c>
      <c r="CD14" s="201">
        <v>0</v>
      </c>
      <c r="CE14" s="215">
        <v>0</v>
      </c>
      <c r="CF14" s="215">
        <v>1</v>
      </c>
      <c r="CG14" s="215">
        <v>0</v>
      </c>
      <c r="CH14" s="177"/>
      <c r="CI14" s="177"/>
      <c r="CJ14" s="177"/>
      <c r="CK14" s="177"/>
      <c r="CL14" s="177"/>
      <c r="CM14" s="177"/>
      <c r="CN14" s="177"/>
      <c r="CO14" s="177"/>
      <c r="CP14" s="177"/>
      <c r="CQ14" s="177"/>
      <c r="CR14" s="177"/>
      <c r="CS14" s="177"/>
      <c r="CT14" s="177"/>
      <c r="CU14" s="177"/>
      <c r="CV14" s="178"/>
      <c r="CW14" s="178"/>
      <c r="CX14" s="178"/>
      <c r="CY14" s="178"/>
      <c r="CZ14" s="178"/>
      <c r="DA14" s="178"/>
      <c r="DB14" s="178"/>
      <c r="DC14" s="178"/>
      <c r="DD14" s="178"/>
      <c r="DE14" s="178"/>
      <c r="DF14" s="178"/>
      <c r="DG14" s="178"/>
      <c r="DH14" s="178"/>
      <c r="DI14" s="178"/>
      <c r="DJ14" s="178"/>
      <c r="DK14" s="178"/>
      <c r="DL14" s="178"/>
      <c r="DM14" s="178"/>
      <c r="DN14" s="178"/>
    </row>
    <row r="15" spans="1:151">
      <c r="A15" s="177"/>
      <c r="B15" s="178" t="s">
        <v>110</v>
      </c>
      <c r="C15" s="178" t="s">
        <v>106</v>
      </c>
      <c r="D15" s="184">
        <v>0</v>
      </c>
      <c r="E15" s="184">
        <v>0</v>
      </c>
      <c r="F15" s="188">
        <v>0</v>
      </c>
      <c r="G15" s="188">
        <v>0</v>
      </c>
      <c r="H15" s="188">
        <v>0</v>
      </c>
      <c r="I15" s="188">
        <v>0</v>
      </c>
      <c r="J15" s="177"/>
      <c r="K15" s="177"/>
      <c r="L15" s="178" t="s">
        <v>110</v>
      </c>
      <c r="M15" s="178" t="s">
        <v>106</v>
      </c>
      <c r="N15" s="201">
        <v>0</v>
      </c>
      <c r="O15" s="201">
        <v>0</v>
      </c>
      <c r="P15" s="201">
        <v>0</v>
      </c>
      <c r="Q15" s="202">
        <v>0</v>
      </c>
      <c r="R15" s="202">
        <v>0</v>
      </c>
      <c r="S15" s="202">
        <v>0</v>
      </c>
      <c r="T15" s="343">
        <v>2450</v>
      </c>
      <c r="U15" s="177"/>
      <c r="V15" s="178" t="s">
        <v>110</v>
      </c>
      <c r="W15" s="178" t="s">
        <v>106</v>
      </c>
      <c r="X15" s="193">
        <v>3</v>
      </c>
      <c r="Y15" s="193">
        <v>2</v>
      </c>
      <c r="Z15" s="193"/>
      <c r="AA15" s="188"/>
      <c r="AB15" s="188"/>
      <c r="AC15" s="193"/>
      <c r="AD15" s="193"/>
      <c r="AE15" s="193"/>
      <c r="AF15" s="177"/>
      <c r="AG15" s="178" t="s">
        <v>110</v>
      </c>
      <c r="AH15" s="178" t="s">
        <v>106</v>
      </c>
      <c r="AI15" s="193"/>
      <c r="AJ15" s="193">
        <v>1</v>
      </c>
      <c r="AK15" s="193"/>
      <c r="AL15" s="193"/>
      <c r="AM15" s="193"/>
      <c r="AN15" s="193">
        <v>1</v>
      </c>
      <c r="AO15" s="193"/>
      <c r="AP15" s="193"/>
      <c r="AQ15" s="177"/>
      <c r="AR15" s="178" t="s">
        <v>110</v>
      </c>
      <c r="AS15" s="178" t="s">
        <v>106</v>
      </c>
      <c r="AT15" s="188" t="s">
        <v>15</v>
      </c>
      <c r="AU15" s="188" t="s">
        <v>18</v>
      </c>
      <c r="AV15" s="188"/>
      <c r="AW15" s="188"/>
      <c r="AX15" s="188" t="s">
        <v>18</v>
      </c>
      <c r="AY15" s="188" t="s">
        <v>735</v>
      </c>
      <c r="AZ15" s="595" t="s">
        <v>735</v>
      </c>
      <c r="BA15" s="595"/>
      <c r="BB15" s="177"/>
      <c r="BC15" s="184" t="s">
        <v>465</v>
      </c>
      <c r="BD15" s="184">
        <v>0.03</v>
      </c>
      <c r="BE15" s="184">
        <v>0.05</v>
      </c>
      <c r="BF15" s="184">
        <v>0.01</v>
      </c>
      <c r="BG15" s="184">
        <v>0.01</v>
      </c>
      <c r="BH15" s="184">
        <v>0.01</v>
      </c>
      <c r="BI15" s="184">
        <v>0.01</v>
      </c>
      <c r="BJ15" s="184">
        <v>0.01</v>
      </c>
      <c r="BK15" s="184">
        <v>0.01</v>
      </c>
      <c r="BL15" s="177"/>
      <c r="BM15" s="194"/>
      <c r="BN15" s="195"/>
      <c r="BO15" s="195"/>
      <c r="BP15" s="195"/>
      <c r="BQ15" s="195"/>
      <c r="BR15" s="188"/>
      <c r="BS15" s="188"/>
      <c r="BT15" s="188"/>
      <c r="BU15" s="188"/>
      <c r="BV15" s="188"/>
      <c r="BW15" s="188"/>
      <c r="BX15" s="188"/>
      <c r="BY15" s="177"/>
      <c r="BZ15" s="245" t="s">
        <v>112</v>
      </c>
      <c r="CA15" s="245" t="s">
        <v>106</v>
      </c>
      <c r="CB15" s="201">
        <v>0</v>
      </c>
      <c r="CC15" s="201">
        <v>0</v>
      </c>
      <c r="CD15" s="201">
        <v>0</v>
      </c>
      <c r="CE15" s="215">
        <v>0</v>
      </c>
      <c r="CF15" s="215">
        <v>0</v>
      </c>
      <c r="CG15" s="215">
        <v>0</v>
      </c>
      <c r="CH15" s="177"/>
      <c r="CI15" s="177"/>
      <c r="CJ15" s="177"/>
      <c r="CK15" s="177"/>
      <c r="CL15" s="177"/>
      <c r="CM15" s="177"/>
      <c r="CN15" s="177"/>
      <c r="CO15" s="177"/>
      <c r="CP15" s="177"/>
      <c r="CQ15" s="177"/>
      <c r="CR15" s="177"/>
      <c r="CS15" s="177"/>
      <c r="CT15" s="177"/>
      <c r="CU15" s="177"/>
      <c r="CV15" s="178"/>
      <c r="CW15" s="178"/>
      <c r="CX15" s="178"/>
      <c r="CY15" s="178"/>
      <c r="CZ15" s="178"/>
      <c r="DA15" s="178"/>
      <c r="DB15" s="178"/>
      <c r="DC15" s="178"/>
      <c r="DD15" s="178"/>
      <c r="DE15" s="178"/>
      <c r="DF15" s="178"/>
      <c r="DG15" s="178"/>
      <c r="DH15" s="178"/>
      <c r="DI15" s="178"/>
      <c r="DJ15" s="178"/>
      <c r="DK15" s="178"/>
      <c r="DL15" s="178"/>
      <c r="DM15" s="178"/>
      <c r="DN15" s="178"/>
    </row>
    <row r="16" spans="1:151">
      <c r="A16" s="177"/>
      <c r="B16" s="178" t="s">
        <v>111</v>
      </c>
      <c r="C16" s="178" t="s">
        <v>106</v>
      </c>
      <c r="D16" s="184">
        <v>0</v>
      </c>
      <c r="E16" s="184">
        <v>0</v>
      </c>
      <c r="F16" s="188">
        <v>0</v>
      </c>
      <c r="G16" s="188">
        <v>0</v>
      </c>
      <c r="H16" s="188">
        <v>0</v>
      </c>
      <c r="I16" s="188">
        <v>0</v>
      </c>
      <c r="J16" s="177"/>
      <c r="K16" s="177"/>
      <c r="L16" s="178" t="s">
        <v>111</v>
      </c>
      <c r="M16" s="178" t="s">
        <v>106</v>
      </c>
      <c r="N16" s="201">
        <v>280</v>
      </c>
      <c r="O16" s="201">
        <v>80</v>
      </c>
      <c r="P16" s="201">
        <v>0</v>
      </c>
      <c r="Q16" s="202">
        <v>0</v>
      </c>
      <c r="R16" s="202">
        <v>40</v>
      </c>
      <c r="S16" s="202">
        <v>0</v>
      </c>
      <c r="T16" s="343">
        <v>2450</v>
      </c>
      <c r="U16" s="177"/>
      <c r="V16" s="178" t="s">
        <v>111</v>
      </c>
      <c r="W16" s="178" t="s">
        <v>106</v>
      </c>
      <c r="X16" s="193">
        <v>3.9</v>
      </c>
      <c r="Y16" s="193">
        <v>3.2</v>
      </c>
      <c r="Z16" s="193"/>
      <c r="AA16" s="188"/>
      <c r="AB16" s="188">
        <v>0.2</v>
      </c>
      <c r="AC16" s="193">
        <v>4</v>
      </c>
      <c r="AD16" s="193">
        <v>14</v>
      </c>
      <c r="AE16" s="193">
        <v>3</v>
      </c>
      <c r="AF16" s="177"/>
      <c r="AG16" s="178" t="s">
        <v>111</v>
      </c>
      <c r="AH16" s="178" t="s">
        <v>106</v>
      </c>
      <c r="AI16" s="193">
        <v>2</v>
      </c>
      <c r="AJ16" s="193">
        <v>1</v>
      </c>
      <c r="AK16" s="193"/>
      <c r="AL16" s="193"/>
      <c r="AM16" s="193"/>
      <c r="AN16" s="193">
        <v>1</v>
      </c>
      <c r="AO16" s="193">
        <v>2</v>
      </c>
      <c r="AP16" s="193">
        <v>2</v>
      </c>
      <c r="AQ16" s="177"/>
      <c r="AR16" s="178" t="s">
        <v>111</v>
      </c>
      <c r="AS16" s="178" t="s">
        <v>106</v>
      </c>
      <c r="AT16" s="188" t="s">
        <v>15</v>
      </c>
      <c r="AU16" s="188" t="s">
        <v>18</v>
      </c>
      <c r="AV16" s="188"/>
      <c r="AW16" s="188"/>
      <c r="AX16" s="188" t="s">
        <v>18</v>
      </c>
      <c r="AY16" s="188" t="s">
        <v>735</v>
      </c>
      <c r="AZ16" s="595" t="s">
        <v>735</v>
      </c>
      <c r="BA16" s="595"/>
      <c r="BB16" s="177"/>
      <c r="BC16" s="184">
        <v>11</v>
      </c>
      <c r="BD16" s="184">
        <v>0.04</v>
      </c>
      <c r="BE16" s="184">
        <v>0.05</v>
      </c>
      <c r="BF16" s="184">
        <v>0.01</v>
      </c>
      <c r="BG16" s="184">
        <v>0.02</v>
      </c>
      <c r="BH16" s="184">
        <v>0.01</v>
      </c>
      <c r="BI16" s="184">
        <v>0.02</v>
      </c>
      <c r="BJ16" s="184">
        <v>0.01</v>
      </c>
      <c r="BK16" s="184">
        <v>0.02</v>
      </c>
      <c r="BL16" s="177"/>
      <c r="BM16" s="871" t="s">
        <v>508</v>
      </c>
      <c r="BN16" s="871"/>
      <c r="BO16" s="871"/>
      <c r="BP16" s="871"/>
      <c r="BQ16" s="871"/>
      <c r="BR16" s="871"/>
      <c r="BS16" s="871"/>
      <c r="BT16" s="871"/>
      <c r="BU16" s="871"/>
      <c r="BV16" s="871"/>
      <c r="BW16" s="871"/>
      <c r="BX16" s="871"/>
      <c r="BY16" s="177"/>
      <c r="BZ16" s="245" t="s">
        <v>113</v>
      </c>
      <c r="CA16" s="245" t="s">
        <v>106</v>
      </c>
      <c r="CB16" s="201">
        <v>0</v>
      </c>
      <c r="CC16" s="201">
        <v>0</v>
      </c>
      <c r="CD16" s="201">
        <v>0</v>
      </c>
      <c r="CE16" s="215">
        <v>0</v>
      </c>
      <c r="CF16" s="215">
        <v>0</v>
      </c>
      <c r="CG16" s="215">
        <v>0</v>
      </c>
      <c r="CH16" s="177"/>
      <c r="CI16" s="177"/>
      <c r="CJ16" s="177"/>
      <c r="CK16" s="177"/>
      <c r="CL16" s="177"/>
      <c r="CM16" s="177"/>
      <c r="CN16" s="177"/>
      <c r="CO16" s="177"/>
      <c r="CP16" s="177"/>
      <c r="CQ16" s="177"/>
      <c r="CR16" s="177"/>
      <c r="CS16" s="177"/>
      <c r="CT16" s="177"/>
      <c r="CU16" s="177"/>
      <c r="CV16" s="178"/>
      <c r="CW16" s="178"/>
      <c r="CX16" s="178"/>
      <c r="CY16" s="178"/>
      <c r="CZ16" s="178"/>
      <c r="DA16" s="178"/>
      <c r="DB16" s="178"/>
      <c r="DC16" s="178"/>
      <c r="DD16" s="178"/>
      <c r="DE16" s="178"/>
      <c r="DF16" s="178"/>
      <c r="DG16" s="178"/>
      <c r="DH16" s="178"/>
      <c r="DI16" s="178"/>
      <c r="DJ16" s="178"/>
      <c r="DK16" s="178"/>
      <c r="DL16" s="178"/>
      <c r="DM16" s="178"/>
      <c r="DN16" s="178"/>
    </row>
    <row r="17" spans="1:118">
      <c r="A17" s="177"/>
      <c r="B17" s="443" t="s">
        <v>746</v>
      </c>
      <c r="C17" s="178" t="s">
        <v>106</v>
      </c>
      <c r="D17" s="442">
        <v>98200</v>
      </c>
      <c r="E17" s="442">
        <v>119200</v>
      </c>
      <c r="F17" s="188">
        <v>1</v>
      </c>
      <c r="G17" s="188">
        <v>1</v>
      </c>
      <c r="H17" s="188">
        <v>1</v>
      </c>
      <c r="I17" s="530">
        <v>53700</v>
      </c>
      <c r="J17" s="177"/>
      <c r="K17" s="177"/>
      <c r="L17" s="178" t="s">
        <v>746</v>
      </c>
      <c r="M17" s="178" t="s">
        <v>106</v>
      </c>
      <c r="N17" s="444">
        <v>1</v>
      </c>
      <c r="O17" s="445">
        <v>1</v>
      </c>
      <c r="P17" s="445">
        <v>1</v>
      </c>
      <c r="Q17" s="445">
        <v>1</v>
      </c>
      <c r="R17" s="445">
        <v>1</v>
      </c>
      <c r="S17" s="445">
        <v>1</v>
      </c>
      <c r="T17" s="343">
        <v>2450</v>
      </c>
      <c r="U17" s="177"/>
      <c r="V17" s="178" t="s">
        <v>746</v>
      </c>
      <c r="W17" s="178" t="s">
        <v>106</v>
      </c>
      <c r="X17" s="578">
        <v>1</v>
      </c>
      <c r="Y17" s="578">
        <v>1</v>
      </c>
      <c r="Z17" s="578">
        <v>1</v>
      </c>
      <c r="AA17" s="579">
        <v>1</v>
      </c>
      <c r="AB17" s="579">
        <v>1</v>
      </c>
      <c r="AC17" s="578">
        <v>1</v>
      </c>
      <c r="AD17" s="578">
        <v>1</v>
      </c>
      <c r="AE17" s="578">
        <v>1</v>
      </c>
      <c r="AF17" s="177"/>
      <c r="AG17" s="178" t="s">
        <v>746</v>
      </c>
      <c r="AH17" s="178" t="s">
        <v>106</v>
      </c>
      <c r="AI17" s="193">
        <v>1</v>
      </c>
      <c r="AJ17" s="193">
        <v>1</v>
      </c>
      <c r="AK17" s="193">
        <v>1</v>
      </c>
      <c r="AL17" s="193">
        <v>1</v>
      </c>
      <c r="AM17" s="193">
        <v>1</v>
      </c>
      <c r="AN17" s="193">
        <v>1</v>
      </c>
      <c r="AO17" s="193">
        <v>1</v>
      </c>
      <c r="AP17" s="193">
        <v>1</v>
      </c>
      <c r="AQ17" s="177"/>
      <c r="AR17" s="178" t="s">
        <v>746</v>
      </c>
      <c r="AS17" s="178" t="s">
        <v>106</v>
      </c>
      <c r="AT17" s="188"/>
      <c r="AU17" s="188"/>
      <c r="AV17" s="188"/>
      <c r="AW17" s="188"/>
      <c r="AX17" s="188"/>
      <c r="AY17" s="188"/>
      <c r="AZ17" s="596"/>
      <c r="BA17" s="596"/>
      <c r="BB17" s="177"/>
      <c r="BC17" s="184" t="s">
        <v>466</v>
      </c>
      <c r="BD17" s="184">
        <v>0.04</v>
      </c>
      <c r="BE17" s="184">
        <v>0.06</v>
      </c>
      <c r="BF17" s="184">
        <v>0.02</v>
      </c>
      <c r="BG17" s="184">
        <v>0.02</v>
      </c>
      <c r="BH17" s="184">
        <v>0.02</v>
      </c>
      <c r="BI17" s="184">
        <v>0.02</v>
      </c>
      <c r="BJ17" s="184">
        <v>0.02</v>
      </c>
      <c r="BK17" s="184">
        <v>0.02</v>
      </c>
      <c r="BL17" s="177"/>
      <c r="BM17" s="196" t="s">
        <v>530</v>
      </c>
      <c r="BN17" s="197">
        <v>65</v>
      </c>
      <c r="BO17" s="197">
        <v>75</v>
      </c>
      <c r="BP17" s="197">
        <v>90</v>
      </c>
      <c r="BQ17" s="197">
        <v>100</v>
      </c>
      <c r="BR17" s="197">
        <v>115</v>
      </c>
      <c r="BS17" s="197">
        <v>125</v>
      </c>
      <c r="BT17" s="196" t="s">
        <v>525</v>
      </c>
      <c r="BU17" s="196" t="s">
        <v>526</v>
      </c>
      <c r="BV17" s="196" t="s">
        <v>527</v>
      </c>
      <c r="BW17" s="196" t="s">
        <v>528</v>
      </c>
      <c r="BX17" s="196" t="s">
        <v>529</v>
      </c>
      <c r="BY17" s="177"/>
      <c r="BZ17" s="245" t="s">
        <v>115</v>
      </c>
      <c r="CA17" s="245" t="s">
        <v>114</v>
      </c>
      <c r="CB17" s="201">
        <v>1</v>
      </c>
      <c r="CC17" s="201">
        <v>4</v>
      </c>
      <c r="CD17" s="201">
        <v>0</v>
      </c>
      <c r="CE17" s="215">
        <v>0</v>
      </c>
      <c r="CF17" s="215">
        <v>0</v>
      </c>
      <c r="CG17" s="215">
        <v>0</v>
      </c>
      <c r="CH17" s="177"/>
      <c r="CI17" s="177"/>
      <c r="CJ17" s="177"/>
      <c r="CK17" s="177"/>
      <c r="CL17" s="177"/>
      <c r="CM17" s="177"/>
      <c r="CN17" s="177"/>
      <c r="CO17" s="177"/>
      <c r="CP17" s="177"/>
      <c r="CQ17" s="177"/>
      <c r="CR17" s="177"/>
      <c r="CS17" s="177"/>
      <c r="CT17" s="177"/>
      <c r="CU17" s="177"/>
      <c r="CV17" s="178"/>
      <c r="CW17" s="178"/>
      <c r="CX17" s="178"/>
      <c r="CY17" s="178"/>
      <c r="CZ17" s="178"/>
      <c r="DA17" s="178"/>
      <c r="DB17" s="178"/>
      <c r="DC17" s="178"/>
      <c r="DD17" s="178"/>
      <c r="DE17" s="178"/>
      <c r="DF17" s="178"/>
      <c r="DG17" s="178"/>
      <c r="DH17" s="178"/>
      <c r="DI17" s="178"/>
      <c r="DJ17" s="178"/>
      <c r="DK17" s="178"/>
      <c r="DL17" s="178"/>
      <c r="DM17" s="178"/>
      <c r="DN17" s="178"/>
    </row>
    <row r="18" spans="1:118">
      <c r="A18" s="177"/>
      <c r="B18" s="178" t="s">
        <v>112</v>
      </c>
      <c r="C18" s="178" t="s">
        <v>106</v>
      </c>
      <c r="D18" s="184">
        <v>148000</v>
      </c>
      <c r="E18" s="184">
        <v>73500</v>
      </c>
      <c r="F18" s="188">
        <v>0</v>
      </c>
      <c r="G18" s="188">
        <v>0</v>
      </c>
      <c r="H18" s="188">
        <v>0</v>
      </c>
      <c r="I18" s="188">
        <v>58500</v>
      </c>
      <c r="J18" s="177"/>
      <c r="K18" s="177"/>
      <c r="L18" s="178" t="s">
        <v>112</v>
      </c>
      <c r="M18" s="178" t="s">
        <v>106</v>
      </c>
      <c r="N18" s="201">
        <v>320</v>
      </c>
      <c r="O18" s="201">
        <v>75</v>
      </c>
      <c r="P18" s="201">
        <v>0</v>
      </c>
      <c r="Q18" s="202">
        <v>240</v>
      </c>
      <c r="R18" s="202">
        <v>60</v>
      </c>
      <c r="S18" s="202">
        <v>340</v>
      </c>
      <c r="T18" s="343">
        <v>2450</v>
      </c>
      <c r="U18" s="177"/>
      <c r="V18" s="178" t="s">
        <v>112</v>
      </c>
      <c r="W18" s="178" t="s">
        <v>106</v>
      </c>
      <c r="X18" s="193">
        <v>23.6</v>
      </c>
      <c r="Y18" s="193">
        <v>7</v>
      </c>
      <c r="Z18" s="193"/>
      <c r="AA18" s="188">
        <v>3</v>
      </c>
      <c r="AB18" s="188">
        <v>0.3</v>
      </c>
      <c r="AC18" s="193">
        <v>18.5</v>
      </c>
      <c r="AD18" s="193">
        <v>55</v>
      </c>
      <c r="AE18" s="193">
        <v>9.5</v>
      </c>
      <c r="AF18" s="177"/>
      <c r="AG18" s="178" t="s">
        <v>112</v>
      </c>
      <c r="AH18" s="178" t="s">
        <v>106</v>
      </c>
      <c r="AI18" s="193">
        <v>2</v>
      </c>
      <c r="AJ18" s="193">
        <v>1</v>
      </c>
      <c r="AK18" s="193"/>
      <c r="AL18" s="193">
        <v>1</v>
      </c>
      <c r="AM18" s="193"/>
      <c r="AN18" s="193">
        <v>3</v>
      </c>
      <c r="AO18" s="193"/>
      <c r="AP18" s="193"/>
      <c r="AQ18" s="177"/>
      <c r="AR18" s="178" t="s">
        <v>112</v>
      </c>
      <c r="AS18" s="178" t="s">
        <v>106</v>
      </c>
      <c r="AT18" s="188"/>
      <c r="AU18" s="188" t="s">
        <v>18</v>
      </c>
      <c r="AV18" s="188"/>
      <c r="AW18" s="188"/>
      <c r="AX18" s="188" t="s">
        <v>18</v>
      </c>
      <c r="AY18" s="188" t="s">
        <v>735</v>
      </c>
      <c r="AZ18" s="595" t="s">
        <v>735</v>
      </c>
      <c r="BA18" s="595" t="s">
        <v>735</v>
      </c>
      <c r="BB18" s="177"/>
      <c r="BC18" s="184" t="s">
        <v>467</v>
      </c>
      <c r="BD18" s="184">
        <v>0.04</v>
      </c>
      <c r="BE18" s="184">
        <v>0.06</v>
      </c>
      <c r="BF18" s="184">
        <v>0.02</v>
      </c>
      <c r="BG18" s="184">
        <v>0.02</v>
      </c>
      <c r="BH18" s="184">
        <v>0.02</v>
      </c>
      <c r="BI18" s="184">
        <v>0.02</v>
      </c>
      <c r="BJ18" s="184">
        <v>0.02</v>
      </c>
      <c r="BK18" s="184">
        <v>0.02</v>
      </c>
      <c r="BL18" s="177"/>
      <c r="BM18" s="188">
        <v>5</v>
      </c>
      <c r="BN18" s="195">
        <v>2310</v>
      </c>
      <c r="BO18" s="195">
        <v>2640</v>
      </c>
      <c r="BP18" s="195">
        <v>3556.666666666667</v>
      </c>
      <c r="BQ18" s="195">
        <v>3520.0000000000005</v>
      </c>
      <c r="BR18" s="188">
        <v>3630.0000000000005</v>
      </c>
      <c r="BS18" s="188">
        <v>3923.3333333333335</v>
      </c>
      <c r="BT18" s="188"/>
      <c r="BU18" s="188"/>
      <c r="BV18" s="188"/>
      <c r="BW18" s="188"/>
      <c r="BX18" s="188"/>
      <c r="BY18" s="177"/>
      <c r="BZ18" s="245" t="s">
        <v>116</v>
      </c>
      <c r="CA18" s="245" t="s">
        <v>114</v>
      </c>
      <c r="CB18" s="201">
        <v>0</v>
      </c>
      <c r="CC18" s="201">
        <v>3</v>
      </c>
      <c r="CD18" s="201">
        <v>0</v>
      </c>
      <c r="CE18" s="215">
        <v>0</v>
      </c>
      <c r="CF18" s="215">
        <v>3</v>
      </c>
      <c r="CG18" s="215">
        <v>0</v>
      </c>
      <c r="CH18" s="177"/>
      <c r="CI18" s="177"/>
      <c r="CJ18" s="177"/>
      <c r="CK18" s="177"/>
      <c r="CL18" s="177"/>
      <c r="CM18" s="177"/>
      <c r="CN18" s="177"/>
      <c r="CO18" s="177"/>
      <c r="CP18" s="177"/>
      <c r="CQ18" s="177"/>
      <c r="CR18" s="177"/>
      <c r="CS18" s="177"/>
      <c r="CT18" s="177"/>
      <c r="CU18" s="177"/>
      <c r="CV18" s="178"/>
      <c r="CW18" s="178"/>
      <c r="CX18" s="178"/>
      <c r="CY18" s="178"/>
      <c r="CZ18" s="178"/>
      <c r="DA18" s="178"/>
      <c r="DB18" s="178"/>
      <c r="DC18" s="178"/>
      <c r="DD18" s="178"/>
      <c r="DE18" s="178"/>
      <c r="DF18" s="178"/>
      <c r="DG18" s="178"/>
      <c r="DH18" s="178"/>
      <c r="DI18" s="178"/>
      <c r="DJ18" s="178"/>
      <c r="DK18" s="178"/>
      <c r="DL18" s="178"/>
      <c r="DM18" s="178"/>
      <c r="DN18" s="178"/>
    </row>
    <row r="19" spans="1:118">
      <c r="A19" s="177"/>
      <c r="B19" s="178" t="s">
        <v>113</v>
      </c>
      <c r="C19" s="178" t="s">
        <v>106</v>
      </c>
      <c r="D19" s="184">
        <v>148000</v>
      </c>
      <c r="E19" s="184">
        <v>73500</v>
      </c>
      <c r="F19" s="188">
        <v>0</v>
      </c>
      <c r="G19" s="188">
        <v>0</v>
      </c>
      <c r="H19" s="188">
        <v>0</v>
      </c>
      <c r="I19" s="188">
        <v>58500</v>
      </c>
      <c r="J19" s="177"/>
      <c r="K19" s="177"/>
      <c r="L19" s="178" t="s">
        <v>113</v>
      </c>
      <c r="M19" s="178" t="s">
        <v>106</v>
      </c>
      <c r="N19" s="201">
        <v>320</v>
      </c>
      <c r="O19" s="201">
        <v>75</v>
      </c>
      <c r="P19" s="201">
        <v>0</v>
      </c>
      <c r="Q19" s="202">
        <v>240</v>
      </c>
      <c r="R19" s="202">
        <v>60</v>
      </c>
      <c r="S19" s="202">
        <v>340</v>
      </c>
      <c r="T19" s="343">
        <v>2450</v>
      </c>
      <c r="U19" s="177"/>
      <c r="V19" s="178" t="s">
        <v>113</v>
      </c>
      <c r="W19" s="178" t="s">
        <v>106</v>
      </c>
      <c r="X19" s="193">
        <v>23.6</v>
      </c>
      <c r="Y19" s="193">
        <v>7</v>
      </c>
      <c r="Z19" s="193"/>
      <c r="AA19" s="188">
        <v>3</v>
      </c>
      <c r="AB19" s="188">
        <v>0.3</v>
      </c>
      <c r="AC19" s="193">
        <v>18.5</v>
      </c>
      <c r="AD19" s="193">
        <v>60</v>
      </c>
      <c r="AE19" s="193">
        <v>9.5</v>
      </c>
      <c r="AF19" s="177"/>
      <c r="AG19" s="178" t="s">
        <v>113</v>
      </c>
      <c r="AH19" s="178" t="s">
        <v>106</v>
      </c>
      <c r="AI19" s="193">
        <v>2</v>
      </c>
      <c r="AJ19" s="193">
        <v>1</v>
      </c>
      <c r="AK19" s="193"/>
      <c r="AL19" s="193">
        <v>1</v>
      </c>
      <c r="AM19" s="193"/>
      <c r="AN19" s="193">
        <v>2</v>
      </c>
      <c r="AO19" s="193">
        <v>2</v>
      </c>
      <c r="AP19" s="193">
        <v>2</v>
      </c>
      <c r="AQ19" s="177"/>
      <c r="AR19" s="178" t="s">
        <v>113</v>
      </c>
      <c r="AS19" s="178" t="s">
        <v>106</v>
      </c>
      <c r="AT19" s="188"/>
      <c r="AU19" s="188" t="s">
        <v>18</v>
      </c>
      <c r="AV19" s="188"/>
      <c r="AW19" s="188"/>
      <c r="AX19" s="188" t="s">
        <v>18</v>
      </c>
      <c r="AY19" s="188" t="s">
        <v>735</v>
      </c>
      <c r="AZ19" s="595" t="s">
        <v>735</v>
      </c>
      <c r="BA19" s="595" t="s">
        <v>735</v>
      </c>
      <c r="BB19" s="177"/>
      <c r="BC19" s="184">
        <v>14</v>
      </c>
      <c r="BD19" s="184">
        <v>0.04</v>
      </c>
      <c r="BE19" s="184">
        <v>7.0000000000000007E-2</v>
      </c>
      <c r="BF19" s="184">
        <v>0.02</v>
      </c>
      <c r="BG19" s="184">
        <v>0.02</v>
      </c>
      <c r="BH19" s="184">
        <v>0.02</v>
      </c>
      <c r="BI19" s="184">
        <v>0.02</v>
      </c>
      <c r="BJ19" s="184">
        <v>0.02</v>
      </c>
      <c r="BK19" s="184">
        <v>0.02</v>
      </c>
      <c r="BL19" s="177"/>
      <c r="BM19" s="188">
        <v>10</v>
      </c>
      <c r="BN19" s="195">
        <v>3080.0000000000005</v>
      </c>
      <c r="BO19" s="195">
        <v>3382.5000000000005</v>
      </c>
      <c r="BP19" s="195">
        <v>3547.5000000000005</v>
      </c>
      <c r="BQ19" s="195">
        <v>4125</v>
      </c>
      <c r="BR19" s="188">
        <v>3877.5000000000005</v>
      </c>
      <c r="BS19" s="188">
        <v>3932.5000000000005</v>
      </c>
      <c r="BT19" s="188"/>
      <c r="BU19" s="188"/>
      <c r="BV19" s="188"/>
      <c r="BW19" s="188"/>
      <c r="BX19" s="188"/>
      <c r="BY19" s="177"/>
      <c r="BZ19" s="245" t="s">
        <v>117</v>
      </c>
      <c r="CA19" s="245" t="s">
        <v>114</v>
      </c>
      <c r="CB19" s="201">
        <v>0</v>
      </c>
      <c r="CC19" s="201">
        <v>2</v>
      </c>
      <c r="CD19" s="201">
        <v>0</v>
      </c>
      <c r="CE19" s="215">
        <v>0</v>
      </c>
      <c r="CF19" s="215">
        <v>0</v>
      </c>
      <c r="CG19" s="215">
        <v>0</v>
      </c>
      <c r="CH19" s="177"/>
      <c r="CI19" s="177"/>
      <c r="CJ19" s="177"/>
      <c r="CK19" s="177"/>
      <c r="CL19" s="177"/>
      <c r="CM19" s="177"/>
      <c r="CN19" s="177"/>
      <c r="CO19" s="177"/>
      <c r="CP19" s="177"/>
      <c r="CQ19" s="177"/>
      <c r="CR19" s="177"/>
      <c r="CS19" s="177"/>
      <c r="CT19" s="177"/>
      <c r="CU19" s="177"/>
      <c r="CV19" s="178"/>
      <c r="CW19" s="178"/>
      <c r="CX19" s="178"/>
      <c r="CY19" s="178"/>
      <c r="CZ19" s="178"/>
      <c r="DA19" s="178"/>
      <c r="DB19" s="178"/>
      <c r="DC19" s="178"/>
      <c r="DD19" s="178"/>
      <c r="DE19" s="178"/>
      <c r="DF19" s="178"/>
      <c r="DG19" s="178"/>
      <c r="DH19" s="178"/>
      <c r="DI19" s="178"/>
      <c r="DJ19" s="178"/>
      <c r="DK19" s="178"/>
      <c r="DL19" s="178"/>
      <c r="DM19" s="178"/>
      <c r="DN19" s="178"/>
    </row>
    <row r="20" spans="1:118">
      <c r="A20" s="177"/>
      <c r="B20" s="178" t="s">
        <v>115</v>
      </c>
      <c r="C20" s="178" t="s">
        <v>114</v>
      </c>
      <c r="D20" s="184">
        <v>62500</v>
      </c>
      <c r="E20" s="184">
        <v>39500</v>
      </c>
      <c r="F20" s="188">
        <v>32000</v>
      </c>
      <c r="G20" s="188">
        <v>32700</v>
      </c>
      <c r="H20" s="188">
        <v>0</v>
      </c>
      <c r="I20" s="188">
        <v>42300</v>
      </c>
      <c r="J20" s="177"/>
      <c r="K20" s="177"/>
      <c r="L20" s="178" t="s">
        <v>115</v>
      </c>
      <c r="M20" s="178" t="s">
        <v>114</v>
      </c>
      <c r="N20" s="201">
        <v>264.25</v>
      </c>
      <c r="O20" s="201">
        <v>100</v>
      </c>
      <c r="P20" s="201">
        <v>0</v>
      </c>
      <c r="Q20" s="202">
        <v>175</v>
      </c>
      <c r="R20" s="202">
        <v>40</v>
      </c>
      <c r="S20" s="217">
        <v>340</v>
      </c>
      <c r="T20" s="343">
        <v>2450</v>
      </c>
      <c r="U20" s="177"/>
      <c r="V20" s="178" t="s">
        <v>115</v>
      </c>
      <c r="W20" s="178" t="s">
        <v>114</v>
      </c>
      <c r="X20" s="193">
        <v>6</v>
      </c>
      <c r="Y20" s="193">
        <v>4</v>
      </c>
      <c r="Z20" s="193"/>
      <c r="AA20" s="188">
        <v>0.6</v>
      </c>
      <c r="AB20" s="188">
        <v>0.2</v>
      </c>
      <c r="AC20" s="193">
        <v>6</v>
      </c>
      <c r="AD20" s="193">
        <v>13.5</v>
      </c>
      <c r="AE20" s="193">
        <v>1.7</v>
      </c>
      <c r="AF20" s="177"/>
      <c r="AG20" s="178" t="s">
        <v>115</v>
      </c>
      <c r="AH20" s="178" t="s">
        <v>114</v>
      </c>
      <c r="AI20" s="193">
        <v>1</v>
      </c>
      <c r="AJ20" s="193">
        <v>1</v>
      </c>
      <c r="AK20" s="193"/>
      <c r="AL20" s="193">
        <v>1</v>
      </c>
      <c r="AM20" s="193"/>
      <c r="AN20" s="193">
        <v>2</v>
      </c>
      <c r="AO20" s="193">
        <v>2</v>
      </c>
      <c r="AP20" s="193">
        <v>2</v>
      </c>
      <c r="AQ20" s="177"/>
      <c r="AR20" s="178" t="s">
        <v>115</v>
      </c>
      <c r="AS20" s="178" t="s">
        <v>114</v>
      </c>
      <c r="AT20" s="188" t="s">
        <v>18</v>
      </c>
      <c r="AU20" s="188" t="s">
        <v>18</v>
      </c>
      <c r="AV20" s="188" t="s">
        <v>18</v>
      </c>
      <c r="AW20" s="188" t="s">
        <v>15</v>
      </c>
      <c r="AX20" s="188" t="s">
        <v>18</v>
      </c>
      <c r="AY20" s="188" t="s">
        <v>735</v>
      </c>
      <c r="AZ20" s="595" t="s">
        <v>735</v>
      </c>
      <c r="BA20" s="595" t="s">
        <v>735</v>
      </c>
      <c r="BB20" s="177"/>
      <c r="BC20" s="184" t="s">
        <v>468</v>
      </c>
      <c r="BD20" s="184">
        <v>0.05</v>
      </c>
      <c r="BE20" s="184">
        <v>7.0000000000000007E-2</v>
      </c>
      <c r="BF20" s="184">
        <v>0.02</v>
      </c>
      <c r="BG20" s="184">
        <v>0.02</v>
      </c>
      <c r="BH20" s="184">
        <v>0.02</v>
      </c>
      <c r="BI20" s="184">
        <v>0.02</v>
      </c>
      <c r="BJ20" s="184">
        <v>0.02</v>
      </c>
      <c r="BK20" s="184">
        <v>0.02</v>
      </c>
      <c r="BL20" s="177"/>
      <c r="BM20" s="188">
        <v>15</v>
      </c>
      <c r="BN20" s="195">
        <v>3547.5000000000005</v>
      </c>
      <c r="BO20" s="195">
        <v>3657.5000000000005</v>
      </c>
      <c r="BP20" s="195">
        <v>3808.7500000000005</v>
      </c>
      <c r="BQ20" s="195">
        <v>4125</v>
      </c>
      <c r="BR20" s="188">
        <v>4345</v>
      </c>
      <c r="BS20" s="188">
        <v>4730</v>
      </c>
      <c r="BT20" s="188"/>
      <c r="BU20" s="188"/>
      <c r="BV20" s="188"/>
      <c r="BW20" s="188"/>
      <c r="BX20" s="188"/>
      <c r="BY20" s="177"/>
      <c r="BZ20" s="245" t="s">
        <v>118</v>
      </c>
      <c r="CA20" s="245" t="s">
        <v>114</v>
      </c>
      <c r="CB20" s="201">
        <v>66</v>
      </c>
      <c r="CC20" s="201">
        <v>16</v>
      </c>
      <c r="CD20" s="201">
        <v>8</v>
      </c>
      <c r="CE20" s="215">
        <v>0</v>
      </c>
      <c r="CF20" s="215">
        <v>26</v>
      </c>
      <c r="CG20" s="215">
        <v>0</v>
      </c>
      <c r="CH20" s="177"/>
      <c r="CI20" s="177"/>
      <c r="CJ20" s="177"/>
      <c r="CK20" s="177"/>
      <c r="CL20" s="177"/>
      <c r="CM20" s="177"/>
      <c r="CN20" s="177"/>
      <c r="CO20" s="177"/>
      <c r="CP20" s="177"/>
      <c r="CQ20" s="177"/>
      <c r="CR20" s="177"/>
      <c r="CS20" s="177"/>
      <c r="CT20" s="177"/>
      <c r="CU20" s="177"/>
      <c r="CV20" s="178"/>
      <c r="CW20" s="178"/>
      <c r="CX20" s="178"/>
      <c r="CY20" s="178"/>
      <c r="CZ20" s="178"/>
      <c r="DA20" s="178"/>
      <c r="DB20" s="178"/>
      <c r="DC20" s="178"/>
      <c r="DD20" s="178"/>
      <c r="DE20" s="178"/>
      <c r="DF20" s="178"/>
      <c r="DG20" s="178"/>
      <c r="DH20" s="178"/>
      <c r="DI20" s="178"/>
      <c r="DJ20" s="178"/>
      <c r="DK20" s="178"/>
      <c r="DL20" s="178"/>
      <c r="DM20" s="178"/>
      <c r="DN20" s="178"/>
    </row>
    <row r="21" spans="1:118">
      <c r="A21" s="177"/>
      <c r="B21" s="178" t="s">
        <v>116</v>
      </c>
      <c r="C21" s="178" t="s">
        <v>114</v>
      </c>
      <c r="D21" s="184">
        <v>136500</v>
      </c>
      <c r="E21" s="184">
        <v>65000</v>
      </c>
      <c r="F21" s="188">
        <v>32000</v>
      </c>
      <c r="G21" s="188">
        <v>65500</v>
      </c>
      <c r="H21" s="188">
        <v>0</v>
      </c>
      <c r="I21" s="188">
        <v>80800</v>
      </c>
      <c r="J21" s="177"/>
      <c r="K21" s="177"/>
      <c r="L21" s="178" t="s">
        <v>116</v>
      </c>
      <c r="M21" s="178" t="s">
        <v>114</v>
      </c>
      <c r="N21" s="201">
        <v>240</v>
      </c>
      <c r="O21" s="201">
        <v>120</v>
      </c>
      <c r="P21" s="201">
        <v>165</v>
      </c>
      <c r="Q21" s="202">
        <v>175</v>
      </c>
      <c r="R21" s="202">
        <v>60.75</v>
      </c>
      <c r="S21" s="217">
        <v>340</v>
      </c>
      <c r="T21" s="343">
        <v>2450</v>
      </c>
      <c r="U21" s="177"/>
      <c r="V21" s="178" t="s">
        <v>116</v>
      </c>
      <c r="W21" s="178" t="s">
        <v>114</v>
      </c>
      <c r="X21" s="193">
        <v>14.5</v>
      </c>
      <c r="Y21" s="193">
        <v>5.8</v>
      </c>
      <c r="Z21" s="193">
        <v>6.3</v>
      </c>
      <c r="AA21" s="188">
        <v>1</v>
      </c>
      <c r="AB21" s="188">
        <v>0.2</v>
      </c>
      <c r="AC21" s="193">
        <v>12</v>
      </c>
      <c r="AD21" s="193">
        <v>23</v>
      </c>
      <c r="AE21" s="193">
        <v>4.5</v>
      </c>
      <c r="AF21" s="177"/>
      <c r="AG21" s="178" t="s">
        <v>116</v>
      </c>
      <c r="AH21" s="178" t="s">
        <v>114</v>
      </c>
      <c r="AI21" s="193">
        <v>1</v>
      </c>
      <c r="AJ21" s="193">
        <v>1</v>
      </c>
      <c r="AK21" s="193">
        <v>1</v>
      </c>
      <c r="AL21" s="193">
        <v>1</v>
      </c>
      <c r="AM21" s="193"/>
      <c r="AN21" s="193">
        <v>3</v>
      </c>
      <c r="AO21" s="193">
        <v>2</v>
      </c>
      <c r="AP21" s="193">
        <v>2</v>
      </c>
      <c r="AQ21" s="177"/>
      <c r="AR21" s="178" t="s">
        <v>116</v>
      </c>
      <c r="AS21" s="178" t="s">
        <v>114</v>
      </c>
      <c r="AT21" s="188" t="s">
        <v>18</v>
      </c>
      <c r="AU21" s="188" t="s">
        <v>18</v>
      </c>
      <c r="AV21" s="188" t="s">
        <v>18</v>
      </c>
      <c r="AW21" s="188" t="s">
        <v>18</v>
      </c>
      <c r="AX21" s="188" t="s">
        <v>18</v>
      </c>
      <c r="AY21" s="188" t="s">
        <v>735</v>
      </c>
      <c r="AZ21" s="595" t="s">
        <v>735</v>
      </c>
      <c r="BA21" s="595" t="s">
        <v>18</v>
      </c>
      <c r="BB21" s="177"/>
      <c r="BC21" s="184" t="s">
        <v>469</v>
      </c>
      <c r="BD21" s="184">
        <v>0.05</v>
      </c>
      <c r="BE21" s="184">
        <v>0.08</v>
      </c>
      <c r="BF21" s="184">
        <v>0.02</v>
      </c>
      <c r="BG21" s="184">
        <v>0.03</v>
      </c>
      <c r="BH21" s="184">
        <v>0.02</v>
      </c>
      <c r="BI21" s="184">
        <v>0.03</v>
      </c>
      <c r="BJ21" s="184">
        <v>0.02</v>
      </c>
      <c r="BK21" s="184">
        <v>0.03</v>
      </c>
      <c r="BL21" s="177"/>
      <c r="BM21" s="188">
        <v>30</v>
      </c>
      <c r="BN21" s="195">
        <v>3808.7500000000005</v>
      </c>
      <c r="BO21" s="195">
        <v>3808.7500000000005</v>
      </c>
      <c r="BP21" s="195">
        <v>3932.5000000000005</v>
      </c>
      <c r="BQ21" s="195">
        <v>4400</v>
      </c>
      <c r="BR21" s="188">
        <v>5060</v>
      </c>
      <c r="BS21" s="188">
        <v>5060</v>
      </c>
      <c r="BT21" s="188"/>
      <c r="BU21" s="188"/>
      <c r="BV21" s="188"/>
      <c r="BW21" s="188"/>
      <c r="BX21" s="188"/>
      <c r="BY21" s="177"/>
      <c r="BZ21" s="245" t="s">
        <v>119</v>
      </c>
      <c r="CA21" s="245" t="s">
        <v>114</v>
      </c>
      <c r="CB21" s="201">
        <v>44</v>
      </c>
      <c r="CC21" s="201">
        <v>6</v>
      </c>
      <c r="CD21" s="201">
        <v>0</v>
      </c>
      <c r="CE21" s="215">
        <v>0</v>
      </c>
      <c r="CF21" s="215">
        <v>30</v>
      </c>
      <c r="CG21" s="215">
        <v>0</v>
      </c>
      <c r="CH21" s="177"/>
      <c r="CI21" s="177"/>
      <c r="CJ21" s="177"/>
      <c r="CK21" s="177"/>
      <c r="CL21" s="177"/>
      <c r="CM21" s="177"/>
      <c r="CN21" s="177"/>
      <c r="CO21" s="177"/>
      <c r="CP21" s="177"/>
      <c r="CQ21" s="177"/>
      <c r="CR21" s="177"/>
      <c r="CS21" s="177"/>
      <c r="CT21" s="177"/>
      <c r="CU21" s="177"/>
      <c r="CV21" s="178"/>
      <c r="CW21" s="178"/>
      <c r="CX21" s="178"/>
      <c r="CY21" s="178"/>
      <c r="CZ21" s="178"/>
      <c r="DA21" s="178"/>
      <c r="DB21" s="178"/>
      <c r="DC21" s="178"/>
      <c r="DD21" s="178"/>
      <c r="DE21" s="178"/>
      <c r="DF21" s="178"/>
      <c r="DG21" s="178"/>
      <c r="DH21" s="178"/>
      <c r="DI21" s="178"/>
      <c r="DJ21" s="178"/>
      <c r="DK21" s="178"/>
      <c r="DL21" s="178"/>
      <c r="DM21" s="178"/>
      <c r="DN21" s="178"/>
    </row>
    <row r="22" spans="1:118">
      <c r="A22" s="177"/>
      <c r="B22" s="178" t="s">
        <v>117</v>
      </c>
      <c r="C22" s="178" t="s">
        <v>114</v>
      </c>
      <c r="D22" s="184">
        <v>136500</v>
      </c>
      <c r="E22" s="184">
        <v>65000</v>
      </c>
      <c r="F22" s="188">
        <v>32000</v>
      </c>
      <c r="G22" s="188">
        <v>65500</v>
      </c>
      <c r="H22" s="188">
        <v>0</v>
      </c>
      <c r="I22" s="188">
        <v>80800</v>
      </c>
      <c r="J22" s="177"/>
      <c r="K22" s="177"/>
      <c r="L22" s="178" t="s">
        <v>117</v>
      </c>
      <c r="M22" s="178" t="s">
        <v>114</v>
      </c>
      <c r="N22" s="201">
        <v>298.5</v>
      </c>
      <c r="O22" s="201">
        <v>120</v>
      </c>
      <c r="P22" s="201">
        <v>165</v>
      </c>
      <c r="Q22" s="202">
        <v>220</v>
      </c>
      <c r="R22" s="202">
        <v>40</v>
      </c>
      <c r="S22" s="217">
        <v>340</v>
      </c>
      <c r="T22" s="343">
        <v>2450</v>
      </c>
      <c r="U22" s="177"/>
      <c r="V22" s="178" t="s">
        <v>117</v>
      </c>
      <c r="W22" s="178" t="s">
        <v>114</v>
      </c>
      <c r="X22" s="193">
        <v>16.5</v>
      </c>
      <c r="Y22" s="193">
        <v>5.8</v>
      </c>
      <c r="Z22" s="193">
        <v>6.3</v>
      </c>
      <c r="AA22" s="188">
        <v>1</v>
      </c>
      <c r="AB22" s="188">
        <v>0.2</v>
      </c>
      <c r="AC22" s="193">
        <v>12</v>
      </c>
      <c r="AD22" s="193">
        <v>23</v>
      </c>
      <c r="AE22" s="193">
        <v>4.5</v>
      </c>
      <c r="AF22" s="177"/>
      <c r="AG22" s="178" t="s">
        <v>117</v>
      </c>
      <c r="AH22" s="178" t="s">
        <v>114</v>
      </c>
      <c r="AI22" s="193">
        <v>1</v>
      </c>
      <c r="AJ22" s="193">
        <v>1</v>
      </c>
      <c r="AK22" s="193">
        <v>1</v>
      </c>
      <c r="AL22" s="193">
        <v>1</v>
      </c>
      <c r="AM22" s="193"/>
      <c r="AN22" s="193">
        <v>3</v>
      </c>
      <c r="AO22" s="193">
        <v>2</v>
      </c>
      <c r="AP22" s="193">
        <v>2</v>
      </c>
      <c r="AQ22" s="177"/>
      <c r="AR22" s="178" t="s">
        <v>117</v>
      </c>
      <c r="AS22" s="178" t="s">
        <v>114</v>
      </c>
      <c r="AT22" s="188" t="s">
        <v>18</v>
      </c>
      <c r="AU22" s="188" t="s">
        <v>18</v>
      </c>
      <c r="AV22" s="188" t="s">
        <v>18</v>
      </c>
      <c r="AW22" s="188" t="s">
        <v>18</v>
      </c>
      <c r="AX22" s="188" t="s">
        <v>18</v>
      </c>
      <c r="AY22" s="188" t="s">
        <v>735</v>
      </c>
      <c r="AZ22" s="595" t="s">
        <v>735</v>
      </c>
      <c r="BA22" s="595" t="s">
        <v>18</v>
      </c>
      <c r="BB22" s="177"/>
      <c r="BC22" s="184">
        <v>17</v>
      </c>
      <c r="BD22" s="184">
        <v>0.05</v>
      </c>
      <c r="BE22" s="184">
        <v>0.08</v>
      </c>
      <c r="BF22" s="184">
        <v>2.5000000000000001E-2</v>
      </c>
      <c r="BG22" s="184">
        <v>0.03</v>
      </c>
      <c r="BH22" s="184">
        <v>2.5000000000000001E-2</v>
      </c>
      <c r="BI22" s="184">
        <v>0.03</v>
      </c>
      <c r="BJ22" s="184">
        <v>2.5000000000000001E-2</v>
      </c>
      <c r="BK22" s="184">
        <v>0.03</v>
      </c>
      <c r="BL22" s="177"/>
      <c r="BM22" s="194">
        <v>35</v>
      </c>
      <c r="BN22" s="195">
        <v>3808.7500000000005</v>
      </c>
      <c r="BO22" s="195">
        <v>3808.7500000000005</v>
      </c>
      <c r="BP22" s="195">
        <v>3932.5000000000005</v>
      </c>
      <c r="BQ22" s="195">
        <v>4400</v>
      </c>
      <c r="BR22" s="188">
        <v>5060</v>
      </c>
      <c r="BS22" s="188">
        <v>5885.0000000000009</v>
      </c>
      <c r="BT22" s="188"/>
      <c r="BU22" s="188"/>
      <c r="BV22" s="188"/>
      <c r="BW22" s="188"/>
      <c r="BX22" s="188"/>
      <c r="BY22" s="177"/>
      <c r="BZ22" s="245" t="s">
        <v>120</v>
      </c>
      <c r="CA22" s="245" t="s">
        <v>114</v>
      </c>
      <c r="CB22" s="201">
        <v>0</v>
      </c>
      <c r="CC22" s="201">
        <v>0</v>
      </c>
      <c r="CD22" s="201">
        <v>0</v>
      </c>
      <c r="CE22" s="215">
        <v>0</v>
      </c>
      <c r="CF22" s="215">
        <v>0</v>
      </c>
      <c r="CG22" s="215">
        <v>0</v>
      </c>
      <c r="CH22" s="177"/>
      <c r="CI22" s="177"/>
      <c r="CJ22" s="177"/>
      <c r="CK22" s="177"/>
      <c r="CL22" s="177"/>
      <c r="CM22" s="177"/>
      <c r="CN22" s="177"/>
      <c r="CO22" s="177"/>
      <c r="CP22" s="177"/>
      <c r="CQ22" s="177"/>
      <c r="CR22" s="177"/>
      <c r="CS22" s="177"/>
      <c r="CT22" s="177"/>
      <c r="CU22" s="177"/>
      <c r="CV22" s="178"/>
      <c r="CW22" s="178"/>
      <c r="CX22" s="178"/>
      <c r="CY22" s="178"/>
      <c r="CZ22" s="178"/>
      <c r="DA22" s="178"/>
      <c r="DB22" s="178"/>
      <c r="DC22" s="178"/>
      <c r="DD22" s="178"/>
      <c r="DE22" s="178"/>
      <c r="DF22" s="178"/>
      <c r="DG22" s="178"/>
      <c r="DH22" s="178"/>
      <c r="DI22" s="178"/>
      <c r="DJ22" s="178"/>
      <c r="DK22" s="178"/>
      <c r="DL22" s="178"/>
      <c r="DM22" s="178"/>
      <c r="DN22" s="178"/>
    </row>
    <row r="23" spans="1:118">
      <c r="A23" s="177"/>
      <c r="B23" s="178" t="s">
        <v>118</v>
      </c>
      <c r="C23" s="178" t="s">
        <v>114</v>
      </c>
      <c r="D23" s="527">
        <v>100000</v>
      </c>
      <c r="E23" s="527">
        <v>65000</v>
      </c>
      <c r="F23" s="188">
        <v>32000</v>
      </c>
      <c r="G23" s="188">
        <v>62500</v>
      </c>
      <c r="H23" s="188">
        <v>0</v>
      </c>
      <c r="I23" s="188">
        <v>80800</v>
      </c>
      <c r="J23" s="177"/>
      <c r="K23" s="177"/>
      <c r="L23" s="178" t="s">
        <v>118</v>
      </c>
      <c r="M23" s="178" t="s">
        <v>114</v>
      </c>
      <c r="N23" s="201">
        <v>158.5</v>
      </c>
      <c r="O23" s="201">
        <v>120</v>
      </c>
      <c r="P23" s="201">
        <v>165</v>
      </c>
      <c r="Q23" s="202">
        <v>220</v>
      </c>
      <c r="R23" s="202">
        <v>60</v>
      </c>
      <c r="S23" s="217">
        <v>320</v>
      </c>
      <c r="T23" s="343">
        <v>2450</v>
      </c>
      <c r="U23" s="177"/>
      <c r="V23" s="178" t="s">
        <v>118</v>
      </c>
      <c r="W23" s="178" t="s">
        <v>114</v>
      </c>
      <c r="X23" s="193">
        <v>16.5</v>
      </c>
      <c r="Y23" s="193">
        <v>5.8</v>
      </c>
      <c r="Z23" s="193">
        <v>5.5</v>
      </c>
      <c r="AA23" s="188">
        <v>1.5</v>
      </c>
      <c r="AB23" s="188">
        <v>0.2</v>
      </c>
      <c r="AC23" s="193">
        <v>12</v>
      </c>
      <c r="AD23" s="193">
        <v>38</v>
      </c>
      <c r="AE23" s="193">
        <v>6.5</v>
      </c>
      <c r="AF23" s="177"/>
      <c r="AG23" s="178" t="s">
        <v>118</v>
      </c>
      <c r="AH23" s="178" t="s">
        <v>114</v>
      </c>
      <c r="AI23" s="193">
        <v>1</v>
      </c>
      <c r="AJ23" s="193">
        <v>1</v>
      </c>
      <c r="AK23" s="193">
        <v>1</v>
      </c>
      <c r="AL23" s="193">
        <v>1</v>
      </c>
      <c r="AM23" s="193"/>
      <c r="AN23" s="193">
        <v>3</v>
      </c>
      <c r="AO23" s="193">
        <v>2</v>
      </c>
      <c r="AP23" s="193">
        <v>2</v>
      </c>
      <c r="AQ23" s="177"/>
      <c r="AR23" s="178" t="s">
        <v>118</v>
      </c>
      <c r="AS23" s="178" t="s">
        <v>114</v>
      </c>
      <c r="AT23" s="188" t="s">
        <v>18</v>
      </c>
      <c r="AU23" s="188" t="s">
        <v>18</v>
      </c>
      <c r="AV23" s="188" t="s">
        <v>18</v>
      </c>
      <c r="AW23" s="188" t="s">
        <v>18</v>
      </c>
      <c r="AX23" s="188" t="s">
        <v>18</v>
      </c>
      <c r="AY23" s="188" t="s">
        <v>735</v>
      </c>
      <c r="AZ23" s="595" t="s">
        <v>735</v>
      </c>
      <c r="BA23" s="595" t="s">
        <v>18</v>
      </c>
      <c r="BB23" s="177"/>
      <c r="BC23" s="184" t="s">
        <v>470</v>
      </c>
      <c r="BD23" s="184">
        <v>7.0000000000000007E-2</v>
      </c>
      <c r="BE23" s="184">
        <v>0.09</v>
      </c>
      <c r="BF23" s="184">
        <v>2.5000000000000001E-2</v>
      </c>
      <c r="BG23" s="184">
        <v>0.03</v>
      </c>
      <c r="BH23" s="184">
        <v>2.5000000000000001E-2</v>
      </c>
      <c r="BI23" s="184">
        <v>0.03</v>
      </c>
      <c r="BJ23" s="184">
        <v>2.5000000000000001E-2</v>
      </c>
      <c r="BK23" s="184">
        <v>0.03</v>
      </c>
      <c r="BL23" s="177"/>
      <c r="BM23" s="194">
        <v>50</v>
      </c>
      <c r="BN23" s="195">
        <v>4537.5</v>
      </c>
      <c r="BO23" s="195">
        <v>4537.5</v>
      </c>
      <c r="BP23" s="195">
        <v>4537.5</v>
      </c>
      <c r="BQ23" s="195">
        <v>4950</v>
      </c>
      <c r="BR23" s="188">
        <v>5555</v>
      </c>
      <c r="BS23" s="188">
        <v>5555</v>
      </c>
      <c r="BT23" s="188"/>
      <c r="BU23" s="188"/>
      <c r="BV23" s="188"/>
      <c r="BW23" s="188"/>
      <c r="BX23" s="188"/>
      <c r="BY23" s="177"/>
      <c r="BZ23" s="245" t="s">
        <v>121</v>
      </c>
      <c r="CA23" s="245" t="s">
        <v>114</v>
      </c>
      <c r="CB23" s="201">
        <v>0</v>
      </c>
      <c r="CC23" s="201">
        <v>2</v>
      </c>
      <c r="CD23" s="201">
        <v>0</v>
      </c>
      <c r="CE23" s="215">
        <v>0</v>
      </c>
      <c r="CF23" s="215">
        <v>0</v>
      </c>
      <c r="CG23" s="215">
        <v>0</v>
      </c>
      <c r="CH23" s="177"/>
      <c r="CI23" s="177"/>
      <c r="CJ23" s="177"/>
      <c r="CK23" s="177"/>
      <c r="CL23" s="177"/>
      <c r="CM23" s="177"/>
      <c r="CN23" s="177"/>
      <c r="CO23" s="177"/>
      <c r="CP23" s="177"/>
      <c r="CQ23" s="177"/>
      <c r="CR23" s="177"/>
      <c r="CS23" s="177"/>
      <c r="CT23" s="177"/>
      <c r="CU23" s="177"/>
      <c r="CV23" s="178"/>
      <c r="CW23" s="178"/>
      <c r="CX23" s="178"/>
      <c r="CY23" s="178"/>
      <c r="CZ23" s="178"/>
      <c r="DA23" s="178"/>
      <c r="DB23" s="178"/>
      <c r="DC23" s="178"/>
      <c r="DD23" s="178"/>
      <c r="DE23" s="178"/>
      <c r="DF23" s="178"/>
      <c r="DG23" s="178"/>
      <c r="DH23" s="178"/>
      <c r="DI23" s="178"/>
      <c r="DJ23" s="178"/>
      <c r="DK23" s="178"/>
      <c r="DL23" s="178"/>
      <c r="DM23" s="178"/>
      <c r="DN23" s="178"/>
    </row>
    <row r="24" spans="1:118">
      <c r="A24" s="177"/>
      <c r="B24" s="178" t="s">
        <v>119</v>
      </c>
      <c r="C24" s="178" t="s">
        <v>114</v>
      </c>
      <c r="D24" s="527">
        <v>100000</v>
      </c>
      <c r="E24" s="527">
        <v>65000</v>
      </c>
      <c r="F24" s="188">
        <v>32000</v>
      </c>
      <c r="G24" s="188">
        <v>62500</v>
      </c>
      <c r="H24" s="188">
        <v>0</v>
      </c>
      <c r="I24" s="188">
        <v>80800</v>
      </c>
      <c r="J24" s="177"/>
      <c r="K24" s="177"/>
      <c r="L24" s="178" t="s">
        <v>119</v>
      </c>
      <c r="M24" s="178" t="s">
        <v>114</v>
      </c>
      <c r="N24" s="201">
        <v>164.5</v>
      </c>
      <c r="O24" s="201">
        <v>160</v>
      </c>
      <c r="P24" s="201">
        <v>165</v>
      </c>
      <c r="Q24" s="202">
        <v>220</v>
      </c>
      <c r="R24" s="202">
        <v>60</v>
      </c>
      <c r="S24" s="217">
        <v>320</v>
      </c>
      <c r="T24" s="343">
        <v>2450</v>
      </c>
      <c r="U24" s="177"/>
      <c r="V24" s="178" t="s">
        <v>119</v>
      </c>
      <c r="W24" s="178" t="s">
        <v>114</v>
      </c>
      <c r="X24" s="193">
        <v>16.5</v>
      </c>
      <c r="Y24" s="193">
        <v>5.8</v>
      </c>
      <c r="Z24" s="193">
        <v>5.5</v>
      </c>
      <c r="AA24" s="188">
        <v>1.5</v>
      </c>
      <c r="AB24" s="188">
        <v>0.2</v>
      </c>
      <c r="AC24" s="193">
        <v>12</v>
      </c>
      <c r="AD24" s="193">
        <v>39.5</v>
      </c>
      <c r="AE24" s="193">
        <v>6.5</v>
      </c>
      <c r="AF24" s="177"/>
      <c r="AG24" s="178" t="s">
        <v>119</v>
      </c>
      <c r="AH24" s="178" t="s">
        <v>114</v>
      </c>
      <c r="AI24" s="193">
        <v>1</v>
      </c>
      <c r="AJ24" s="193">
        <v>1</v>
      </c>
      <c r="AK24" s="193">
        <v>1</v>
      </c>
      <c r="AL24" s="193">
        <v>1</v>
      </c>
      <c r="AM24" s="193"/>
      <c r="AN24" s="193">
        <v>3</v>
      </c>
      <c r="AO24" s="193">
        <v>2</v>
      </c>
      <c r="AP24" s="193">
        <v>2</v>
      </c>
      <c r="AQ24" s="177"/>
      <c r="AR24" s="178" t="s">
        <v>119</v>
      </c>
      <c r="AS24" s="178" t="s">
        <v>114</v>
      </c>
      <c r="AT24" s="188" t="s">
        <v>18</v>
      </c>
      <c r="AU24" s="188" t="s">
        <v>18</v>
      </c>
      <c r="AV24" s="188" t="s">
        <v>18</v>
      </c>
      <c r="AW24" s="188" t="s">
        <v>18</v>
      </c>
      <c r="AX24" s="188" t="s">
        <v>18</v>
      </c>
      <c r="AY24" s="188" t="s">
        <v>735</v>
      </c>
      <c r="AZ24" s="595" t="s">
        <v>735</v>
      </c>
      <c r="BA24" s="595" t="s">
        <v>18</v>
      </c>
      <c r="BB24" s="177"/>
      <c r="BC24" s="184" t="s">
        <v>471</v>
      </c>
      <c r="BD24" s="184">
        <v>7.0000000000000007E-2</v>
      </c>
      <c r="BE24" s="184">
        <v>0.09</v>
      </c>
      <c r="BF24" s="184">
        <v>2.5000000000000001E-2</v>
      </c>
      <c r="BG24" s="184">
        <v>0.03</v>
      </c>
      <c r="BH24" s="184">
        <v>2.5000000000000001E-2</v>
      </c>
      <c r="BI24" s="184">
        <v>0.03</v>
      </c>
      <c r="BJ24" s="184">
        <v>2.5000000000000001E-2</v>
      </c>
      <c r="BK24" s="184">
        <v>0.03</v>
      </c>
      <c r="BL24" s="177"/>
      <c r="BM24" s="194">
        <v>80</v>
      </c>
      <c r="BN24" s="195">
        <v>4537.5</v>
      </c>
      <c r="BO24" s="195">
        <v>4537.5</v>
      </c>
      <c r="BP24" s="195">
        <v>4537.5</v>
      </c>
      <c r="BQ24" s="195">
        <v>4950</v>
      </c>
      <c r="BR24" s="188">
        <v>5555</v>
      </c>
      <c r="BS24" s="188">
        <v>5555</v>
      </c>
      <c r="BT24" s="188"/>
      <c r="BU24" s="188"/>
      <c r="BV24" s="188"/>
      <c r="BW24" s="188"/>
      <c r="BX24" s="188"/>
      <c r="BY24" s="177"/>
      <c r="BZ24" s="317" t="s">
        <v>123</v>
      </c>
      <c r="CA24" s="317" t="s">
        <v>122</v>
      </c>
      <c r="CB24" s="201">
        <v>0</v>
      </c>
      <c r="CC24" s="201">
        <v>0</v>
      </c>
      <c r="CD24" s="201">
        <v>0</v>
      </c>
      <c r="CE24" s="216">
        <v>0</v>
      </c>
      <c r="CF24" s="216">
        <v>0</v>
      </c>
      <c r="CG24" s="216">
        <v>0</v>
      </c>
      <c r="CH24" s="177"/>
      <c r="CI24" s="177"/>
      <c r="CJ24" s="177"/>
      <c r="CK24" s="177"/>
      <c r="CL24" s="177"/>
      <c r="CM24" s="177"/>
      <c r="CN24" s="177"/>
      <c r="CO24" s="177"/>
      <c r="CP24" s="177"/>
      <c r="CQ24" s="177"/>
      <c r="CR24" s="177"/>
      <c r="CS24" s="177"/>
      <c r="CT24" s="177"/>
      <c r="CU24" s="177"/>
      <c r="CV24" s="178"/>
      <c r="CW24" s="178"/>
      <c r="CX24" s="178"/>
      <c r="CY24" s="178"/>
      <c r="CZ24" s="178"/>
      <c r="DA24" s="178"/>
      <c r="DB24" s="178"/>
      <c r="DC24" s="178"/>
      <c r="DD24" s="178"/>
      <c r="DE24" s="178"/>
      <c r="DF24" s="178"/>
      <c r="DG24" s="178"/>
      <c r="DH24" s="178"/>
      <c r="DI24" s="178"/>
      <c r="DJ24" s="178"/>
      <c r="DK24" s="178"/>
      <c r="DL24" s="178"/>
      <c r="DM24" s="178"/>
      <c r="DN24" s="178"/>
    </row>
    <row r="25" spans="1:118">
      <c r="A25" s="177"/>
      <c r="B25" s="178" t="s">
        <v>120</v>
      </c>
      <c r="C25" s="178" t="s">
        <v>114</v>
      </c>
      <c r="D25" s="527">
        <v>100000</v>
      </c>
      <c r="E25" s="527">
        <v>65000</v>
      </c>
      <c r="F25" s="188">
        <v>32000</v>
      </c>
      <c r="G25" s="188">
        <v>62500</v>
      </c>
      <c r="H25" s="188">
        <v>0</v>
      </c>
      <c r="I25" s="188">
        <v>80800</v>
      </c>
      <c r="J25" s="177"/>
      <c r="K25" s="177"/>
      <c r="L25" s="178" t="s">
        <v>120</v>
      </c>
      <c r="M25" s="178" t="s">
        <v>114</v>
      </c>
      <c r="N25" s="201">
        <v>378</v>
      </c>
      <c r="O25" s="201">
        <v>160</v>
      </c>
      <c r="P25" s="201">
        <v>165</v>
      </c>
      <c r="Q25" s="202">
        <v>220</v>
      </c>
      <c r="R25" s="202">
        <v>60</v>
      </c>
      <c r="S25" s="217">
        <v>240</v>
      </c>
      <c r="T25" s="343">
        <v>2450</v>
      </c>
      <c r="U25" s="177"/>
      <c r="V25" s="178" t="s">
        <v>120</v>
      </c>
      <c r="W25" s="178" t="s">
        <v>114</v>
      </c>
      <c r="X25" s="193">
        <v>16.5</v>
      </c>
      <c r="Y25" s="193">
        <v>5.8</v>
      </c>
      <c r="Z25" s="193">
        <v>7</v>
      </c>
      <c r="AA25" s="188">
        <v>3</v>
      </c>
      <c r="AB25" s="188">
        <v>0.25</v>
      </c>
      <c r="AC25" s="193">
        <v>12</v>
      </c>
      <c r="AD25" s="193">
        <v>40</v>
      </c>
      <c r="AE25" s="193">
        <v>6.5</v>
      </c>
      <c r="AF25" s="177"/>
      <c r="AG25" s="178" t="s">
        <v>120</v>
      </c>
      <c r="AH25" s="178" t="s">
        <v>114</v>
      </c>
      <c r="AI25" s="193">
        <v>1</v>
      </c>
      <c r="AJ25" s="193">
        <v>1</v>
      </c>
      <c r="AK25" s="193">
        <v>1</v>
      </c>
      <c r="AL25" s="193">
        <v>1</v>
      </c>
      <c r="AM25" s="193"/>
      <c r="AN25" s="193">
        <v>3</v>
      </c>
      <c r="AO25" s="193">
        <v>2</v>
      </c>
      <c r="AP25" s="193">
        <v>2</v>
      </c>
      <c r="AQ25" s="177"/>
      <c r="AR25" s="178" t="s">
        <v>120</v>
      </c>
      <c r="AS25" s="178" t="s">
        <v>114</v>
      </c>
      <c r="AT25" s="188" t="s">
        <v>18</v>
      </c>
      <c r="AU25" s="188" t="s">
        <v>18</v>
      </c>
      <c r="AV25" s="188" t="s">
        <v>18</v>
      </c>
      <c r="AW25" s="188" t="s">
        <v>18</v>
      </c>
      <c r="AX25" s="188" t="s">
        <v>18</v>
      </c>
      <c r="AY25" s="188" t="s">
        <v>735</v>
      </c>
      <c r="AZ25" s="595" t="s">
        <v>735</v>
      </c>
      <c r="BA25" s="595" t="s">
        <v>18</v>
      </c>
      <c r="BB25" s="177"/>
      <c r="BC25" s="184">
        <v>20</v>
      </c>
      <c r="BD25" s="184">
        <v>7.0000000000000007E-2</v>
      </c>
      <c r="BE25" s="184">
        <v>0.1</v>
      </c>
      <c r="BF25" s="184">
        <v>2.5000000000000001E-2</v>
      </c>
      <c r="BG25" s="184">
        <v>0.04</v>
      </c>
      <c r="BH25" s="184">
        <v>2.5000000000000001E-2</v>
      </c>
      <c r="BI25" s="184">
        <v>0.04</v>
      </c>
      <c r="BJ25" s="184">
        <v>2.5000000000000001E-2</v>
      </c>
      <c r="BK25" s="184">
        <v>0.04</v>
      </c>
      <c r="BL25" s="177"/>
      <c r="BM25" s="194"/>
      <c r="BN25" s="195"/>
      <c r="BO25" s="195"/>
      <c r="BP25" s="195"/>
      <c r="BQ25" s="195"/>
      <c r="BR25" s="188"/>
      <c r="BS25" s="188"/>
      <c r="BT25" s="188"/>
      <c r="BU25" s="188"/>
      <c r="BV25" s="188"/>
      <c r="BW25" s="188"/>
      <c r="BX25" s="188"/>
      <c r="BY25" s="177"/>
      <c r="BZ25" s="317" t="s">
        <v>124</v>
      </c>
      <c r="CA25" s="317" t="s">
        <v>122</v>
      </c>
      <c r="CB25" s="201">
        <v>0</v>
      </c>
      <c r="CC25" s="201">
        <v>0</v>
      </c>
      <c r="CD25" s="201">
        <v>0</v>
      </c>
      <c r="CE25" s="216">
        <v>0</v>
      </c>
      <c r="CF25" s="216">
        <v>0</v>
      </c>
      <c r="CG25" s="216">
        <v>0</v>
      </c>
      <c r="CH25" s="177"/>
      <c r="CI25" s="177"/>
      <c r="CJ25" s="177"/>
      <c r="CK25" s="177"/>
      <c r="CL25" s="177"/>
      <c r="CM25" s="177"/>
      <c r="CN25" s="177"/>
      <c r="CO25" s="177"/>
      <c r="CP25" s="177"/>
      <c r="CQ25" s="177"/>
      <c r="CR25" s="177"/>
      <c r="CS25" s="177"/>
      <c r="CT25" s="177"/>
      <c r="CU25" s="177"/>
      <c r="CV25" s="178"/>
      <c r="CW25" s="178"/>
      <c r="CX25" s="178"/>
      <c r="CY25" s="178"/>
      <c r="CZ25" s="178"/>
      <c r="DA25" s="178"/>
      <c r="DB25" s="178"/>
      <c r="DC25" s="178"/>
      <c r="DD25" s="178"/>
      <c r="DE25" s="178"/>
      <c r="DF25" s="178"/>
      <c r="DG25" s="178"/>
      <c r="DH25" s="178"/>
      <c r="DI25" s="178"/>
      <c r="DJ25" s="178"/>
      <c r="DK25" s="178"/>
      <c r="DL25" s="178"/>
      <c r="DM25" s="178"/>
      <c r="DN25" s="178"/>
    </row>
    <row r="26" spans="1:118">
      <c r="A26" s="177"/>
      <c r="B26" s="178" t="s">
        <v>121</v>
      </c>
      <c r="C26" s="178" t="s">
        <v>114</v>
      </c>
      <c r="D26" s="527">
        <v>100000</v>
      </c>
      <c r="E26" s="184">
        <v>115000</v>
      </c>
      <c r="F26" s="188">
        <v>32000</v>
      </c>
      <c r="G26" s="188">
        <v>62500</v>
      </c>
      <c r="H26" s="188">
        <v>0</v>
      </c>
      <c r="I26" s="188">
        <v>60000</v>
      </c>
      <c r="J26" s="177"/>
      <c r="K26" s="177"/>
      <c r="L26" s="178" t="s">
        <v>121</v>
      </c>
      <c r="M26" s="178" t="s">
        <v>114</v>
      </c>
      <c r="N26" s="201">
        <v>308.5</v>
      </c>
      <c r="O26" s="201">
        <v>378.5</v>
      </c>
      <c r="P26" s="201">
        <v>165</v>
      </c>
      <c r="Q26" s="202">
        <v>220</v>
      </c>
      <c r="R26" s="202">
        <v>60</v>
      </c>
      <c r="S26" s="217">
        <v>240</v>
      </c>
      <c r="T26" s="343">
        <v>2450</v>
      </c>
      <c r="U26" s="177"/>
      <c r="V26" s="178" t="s">
        <v>121</v>
      </c>
      <c r="W26" s="178" t="s">
        <v>114</v>
      </c>
      <c r="X26" s="193">
        <v>19</v>
      </c>
      <c r="Y26" s="193">
        <v>5.8</v>
      </c>
      <c r="Z26" s="193">
        <v>6.5</v>
      </c>
      <c r="AA26" s="188">
        <v>3</v>
      </c>
      <c r="AB26" s="188">
        <v>0.25</v>
      </c>
      <c r="AC26" s="193">
        <v>12</v>
      </c>
      <c r="AD26" s="193">
        <v>40</v>
      </c>
      <c r="AE26" s="193">
        <v>6.5</v>
      </c>
      <c r="AF26" s="177"/>
      <c r="AG26" s="178" t="s">
        <v>121</v>
      </c>
      <c r="AH26" s="178" t="s">
        <v>114</v>
      </c>
      <c r="AI26" s="193">
        <v>1</v>
      </c>
      <c r="AJ26" s="193">
        <v>1</v>
      </c>
      <c r="AK26" s="193">
        <v>1</v>
      </c>
      <c r="AL26" s="193">
        <v>1</v>
      </c>
      <c r="AM26" s="193"/>
      <c r="AN26" s="193">
        <v>3</v>
      </c>
      <c r="AO26" s="193">
        <v>2</v>
      </c>
      <c r="AP26" s="193">
        <v>2</v>
      </c>
      <c r="AQ26" s="177"/>
      <c r="AR26" s="178" t="s">
        <v>121</v>
      </c>
      <c r="AS26" s="178" t="s">
        <v>114</v>
      </c>
      <c r="AT26" s="188" t="s">
        <v>18</v>
      </c>
      <c r="AU26" s="188" t="s">
        <v>18</v>
      </c>
      <c r="AV26" s="188" t="s">
        <v>18</v>
      </c>
      <c r="AW26" s="188" t="s">
        <v>18</v>
      </c>
      <c r="AX26" s="188" t="s">
        <v>18</v>
      </c>
      <c r="AY26" s="188" t="s">
        <v>735</v>
      </c>
      <c r="AZ26" s="595" t="s">
        <v>735</v>
      </c>
      <c r="BA26" s="595" t="s">
        <v>18</v>
      </c>
      <c r="BB26" s="177"/>
      <c r="BC26" s="184">
        <v>21</v>
      </c>
      <c r="BD26" s="184">
        <v>7.0000000000000007E-2</v>
      </c>
      <c r="BE26" s="184">
        <v>0.1</v>
      </c>
      <c r="BF26" s="184">
        <v>2.5000000000000001E-2</v>
      </c>
      <c r="BG26" s="184">
        <v>0.04</v>
      </c>
      <c r="BH26" s="184">
        <v>2.5000000000000001E-2</v>
      </c>
      <c r="BI26" s="184">
        <v>0.04</v>
      </c>
      <c r="BJ26" s="184">
        <v>2.5000000000000001E-2</v>
      </c>
      <c r="BK26" s="184">
        <v>0.04</v>
      </c>
      <c r="BL26" s="177"/>
      <c r="BM26" s="194"/>
      <c r="BN26" s="195"/>
      <c r="BO26" s="195"/>
      <c r="BP26" s="195"/>
      <c r="BQ26" s="195"/>
      <c r="BR26" s="188"/>
      <c r="BS26" s="188"/>
      <c r="BT26" s="188"/>
      <c r="BU26" s="188"/>
      <c r="BV26" s="188"/>
      <c r="BW26" s="188"/>
      <c r="BX26" s="188"/>
      <c r="BY26" s="177"/>
      <c r="BZ26" s="317" t="s">
        <v>125</v>
      </c>
      <c r="CA26" s="317" t="s">
        <v>122</v>
      </c>
      <c r="CB26" s="201">
        <v>0</v>
      </c>
      <c r="CC26" s="201">
        <v>0</v>
      </c>
      <c r="CD26" s="201">
        <v>0</v>
      </c>
      <c r="CE26" s="216">
        <v>0</v>
      </c>
      <c r="CF26" s="216">
        <v>0</v>
      </c>
      <c r="CG26" s="216">
        <v>0</v>
      </c>
      <c r="CH26" s="177"/>
      <c r="CI26" s="177"/>
      <c r="CJ26" s="177"/>
      <c r="CK26" s="177"/>
      <c r="CL26" s="177"/>
      <c r="CM26" s="177"/>
      <c r="CN26" s="177"/>
      <c r="CO26" s="177"/>
      <c r="CP26" s="177"/>
      <c r="CQ26" s="177"/>
      <c r="CR26" s="177"/>
      <c r="CS26" s="177"/>
      <c r="CT26" s="177"/>
      <c r="CU26" s="177"/>
      <c r="CV26" s="178"/>
      <c r="CW26" s="178"/>
      <c r="CX26" s="178"/>
      <c r="CY26" s="178"/>
      <c r="CZ26" s="178"/>
      <c r="DA26" s="178"/>
      <c r="DB26" s="178"/>
      <c r="DC26" s="178"/>
      <c r="DD26" s="178"/>
      <c r="DE26" s="178"/>
      <c r="DF26" s="178"/>
      <c r="DG26" s="178"/>
      <c r="DH26" s="178"/>
      <c r="DI26" s="178"/>
      <c r="DJ26" s="178"/>
      <c r="DK26" s="178"/>
      <c r="DL26" s="178"/>
      <c r="DM26" s="178"/>
      <c r="DN26" s="178"/>
    </row>
    <row r="27" spans="1:118">
      <c r="A27" s="177"/>
      <c r="B27" s="178" t="s">
        <v>123</v>
      </c>
      <c r="C27" s="178" t="s">
        <v>122</v>
      </c>
      <c r="D27" s="184">
        <v>170000</v>
      </c>
      <c r="E27" s="184">
        <v>55000</v>
      </c>
      <c r="F27" s="184">
        <v>35000</v>
      </c>
      <c r="G27" s="184">
        <v>24000</v>
      </c>
      <c r="H27" s="184">
        <v>15000</v>
      </c>
      <c r="I27" s="184">
        <v>75000</v>
      </c>
      <c r="J27" s="177"/>
      <c r="K27" s="177"/>
      <c r="L27" s="178" t="s">
        <v>123</v>
      </c>
      <c r="M27" s="178" t="s">
        <v>122</v>
      </c>
      <c r="N27" s="386">
        <v>795</v>
      </c>
      <c r="O27" s="386">
        <v>550</v>
      </c>
      <c r="P27" s="386">
        <v>110</v>
      </c>
      <c r="Q27" s="386">
        <v>530</v>
      </c>
      <c r="R27" s="386">
        <v>440</v>
      </c>
      <c r="S27" s="386">
        <v>1100</v>
      </c>
      <c r="T27" s="343">
        <f t="shared" ref="T27:T33" si="0">30000/10</f>
        <v>3000</v>
      </c>
      <c r="U27" s="177"/>
      <c r="V27" s="178" t="s">
        <v>123</v>
      </c>
      <c r="W27" s="178" t="s">
        <v>122</v>
      </c>
      <c r="X27" s="188">
        <v>29.2</v>
      </c>
      <c r="Y27" s="188">
        <v>14</v>
      </c>
      <c r="Z27" s="188">
        <v>30</v>
      </c>
      <c r="AA27" s="188">
        <v>5</v>
      </c>
      <c r="AB27" s="188">
        <v>1</v>
      </c>
      <c r="AC27" s="188">
        <v>20</v>
      </c>
      <c r="AD27" s="193">
        <v>32</v>
      </c>
      <c r="AE27" s="188"/>
      <c r="AF27" s="177"/>
      <c r="AG27" s="178" t="s">
        <v>123</v>
      </c>
      <c r="AH27" s="178" t="s">
        <v>122</v>
      </c>
      <c r="AI27" s="188">
        <v>1</v>
      </c>
      <c r="AJ27" s="188">
        <v>1</v>
      </c>
      <c r="AK27" s="188">
        <v>0</v>
      </c>
      <c r="AL27" s="188">
        <v>2</v>
      </c>
      <c r="AM27" s="188">
        <v>0</v>
      </c>
      <c r="AN27" s="188">
        <v>1</v>
      </c>
      <c r="AO27" s="188"/>
      <c r="AP27" s="188"/>
      <c r="AQ27" s="177"/>
      <c r="AR27" s="178" t="s">
        <v>123</v>
      </c>
      <c r="AS27" s="178" t="s">
        <v>122</v>
      </c>
      <c r="AT27" s="184" t="s">
        <v>18</v>
      </c>
      <c r="AU27" s="184" t="s">
        <v>18</v>
      </c>
      <c r="AV27" s="184" t="s">
        <v>18</v>
      </c>
      <c r="AW27" s="184" t="s">
        <v>15</v>
      </c>
      <c r="AX27" s="184" t="s">
        <v>18</v>
      </c>
      <c r="AY27" s="184" t="s">
        <v>15</v>
      </c>
      <c r="AZ27" s="402"/>
      <c r="BA27" s="402"/>
      <c r="BB27" s="177"/>
      <c r="BC27" s="184">
        <v>22</v>
      </c>
      <c r="BD27" s="184">
        <v>7.0000000000000007E-2</v>
      </c>
      <c r="BE27" s="184">
        <v>0.1</v>
      </c>
      <c r="BF27" s="184">
        <v>2.5000000000000001E-2</v>
      </c>
      <c r="BG27" s="184">
        <v>0.04</v>
      </c>
      <c r="BH27" s="184">
        <v>2.5000000000000001E-2</v>
      </c>
      <c r="BI27" s="184">
        <v>0.04</v>
      </c>
      <c r="BJ27" s="184">
        <v>2.5000000000000001E-2</v>
      </c>
      <c r="BK27" s="184">
        <v>0.04</v>
      </c>
      <c r="BL27" s="177"/>
      <c r="BM27" s="198"/>
      <c r="BN27" s="199"/>
      <c r="BO27" s="199"/>
      <c r="BP27" s="199"/>
      <c r="BQ27" s="199"/>
      <c r="BR27" s="184"/>
      <c r="BS27" s="184"/>
      <c r="BT27" s="184"/>
      <c r="BU27" s="184"/>
      <c r="BV27" s="184"/>
      <c r="BW27" s="184"/>
      <c r="BX27" s="184"/>
      <c r="BY27" s="177"/>
      <c r="BZ27" s="317" t="s">
        <v>126</v>
      </c>
      <c r="CA27" s="317" t="s">
        <v>122</v>
      </c>
      <c r="CB27" s="201">
        <v>0</v>
      </c>
      <c r="CC27" s="201">
        <v>0</v>
      </c>
      <c r="CD27" s="201">
        <v>0</v>
      </c>
      <c r="CE27" s="216">
        <v>0</v>
      </c>
      <c r="CF27" s="216">
        <v>0</v>
      </c>
      <c r="CG27" s="216">
        <v>0</v>
      </c>
      <c r="CH27" s="177"/>
      <c r="CI27" s="177"/>
      <c r="CJ27" s="177"/>
      <c r="CK27" s="177"/>
      <c r="CL27" s="177"/>
      <c r="CM27" s="177"/>
      <c r="CN27" s="177"/>
      <c r="CO27" s="177"/>
      <c r="CP27" s="177"/>
      <c r="CQ27" s="177"/>
      <c r="CR27" s="177"/>
      <c r="CS27" s="177"/>
      <c r="CT27" s="177"/>
      <c r="CU27" s="177"/>
      <c r="CV27" s="178"/>
      <c r="CW27" s="178"/>
      <c r="CX27" s="178"/>
      <c r="CY27" s="178"/>
      <c r="CZ27" s="178"/>
      <c r="DA27" s="178"/>
      <c r="DB27" s="178"/>
      <c r="DC27" s="178"/>
      <c r="DD27" s="178"/>
      <c r="DE27" s="178"/>
      <c r="DF27" s="178"/>
      <c r="DG27" s="178"/>
      <c r="DH27" s="178"/>
      <c r="DI27" s="178"/>
      <c r="DJ27" s="178"/>
      <c r="DK27" s="178"/>
      <c r="DL27" s="178"/>
      <c r="DM27" s="178"/>
      <c r="DN27" s="178"/>
    </row>
    <row r="28" spans="1:118">
      <c r="A28" s="177"/>
      <c r="B28" s="178" t="s">
        <v>124</v>
      </c>
      <c r="C28" s="178" t="s">
        <v>122</v>
      </c>
      <c r="D28" s="401">
        <v>170000</v>
      </c>
      <c r="E28" s="401">
        <v>55000</v>
      </c>
      <c r="F28" s="401">
        <v>35000</v>
      </c>
      <c r="G28" s="401">
        <v>24000</v>
      </c>
      <c r="H28" s="401">
        <v>15000</v>
      </c>
      <c r="I28" s="401">
        <v>75000</v>
      </c>
      <c r="J28" s="177"/>
      <c r="K28" s="177"/>
      <c r="L28" s="178" t="s">
        <v>124</v>
      </c>
      <c r="M28" s="178" t="s">
        <v>122</v>
      </c>
      <c r="N28" s="386">
        <v>795</v>
      </c>
      <c r="O28" s="386">
        <v>550</v>
      </c>
      <c r="P28" s="386">
        <v>110</v>
      </c>
      <c r="Q28" s="386">
        <v>530</v>
      </c>
      <c r="R28" s="386">
        <v>440</v>
      </c>
      <c r="S28" s="386">
        <v>1100</v>
      </c>
      <c r="T28" s="343">
        <f t="shared" si="0"/>
        <v>3000</v>
      </c>
      <c r="U28" s="177"/>
      <c r="V28" s="178" t="s">
        <v>124</v>
      </c>
      <c r="W28" s="178" t="s">
        <v>122</v>
      </c>
      <c r="X28" s="188">
        <v>29.8</v>
      </c>
      <c r="Y28" s="188">
        <v>8.35</v>
      </c>
      <c r="Z28" s="188">
        <v>30</v>
      </c>
      <c r="AA28" s="188">
        <v>5</v>
      </c>
      <c r="AB28" s="188">
        <v>1</v>
      </c>
      <c r="AC28" s="188">
        <v>20</v>
      </c>
      <c r="AD28" s="193">
        <v>32</v>
      </c>
      <c r="AE28" s="188"/>
      <c r="AF28" s="177"/>
      <c r="AG28" s="178" t="s">
        <v>124</v>
      </c>
      <c r="AH28" s="178" t="s">
        <v>122</v>
      </c>
      <c r="AI28" s="188">
        <v>1</v>
      </c>
      <c r="AJ28" s="188">
        <v>1</v>
      </c>
      <c r="AK28" s="188">
        <v>0</v>
      </c>
      <c r="AL28" s="188">
        <v>2</v>
      </c>
      <c r="AM28" s="188">
        <v>0</v>
      </c>
      <c r="AN28" s="188">
        <v>1</v>
      </c>
      <c r="AO28" s="188"/>
      <c r="AP28" s="188"/>
      <c r="AQ28" s="177"/>
      <c r="AR28" s="178" t="s">
        <v>124</v>
      </c>
      <c r="AS28" s="178" t="s">
        <v>122</v>
      </c>
      <c r="AT28" s="184" t="s">
        <v>18</v>
      </c>
      <c r="AU28" s="184" t="s">
        <v>18</v>
      </c>
      <c r="AV28" s="184" t="s">
        <v>18</v>
      </c>
      <c r="AW28" s="184" t="s">
        <v>15</v>
      </c>
      <c r="AX28" s="184" t="s">
        <v>18</v>
      </c>
      <c r="AY28" s="184" t="s">
        <v>15</v>
      </c>
      <c r="AZ28" s="402"/>
      <c r="BA28" s="402"/>
      <c r="BB28" s="177"/>
      <c r="BC28" s="184">
        <v>23</v>
      </c>
      <c r="BD28" s="184">
        <v>7.0000000000000007E-2</v>
      </c>
      <c r="BE28" s="184">
        <v>0.1</v>
      </c>
      <c r="BF28" s="184">
        <v>2.5000000000000001E-2</v>
      </c>
      <c r="BG28" s="184">
        <v>0.04</v>
      </c>
      <c r="BH28" s="184">
        <v>2.5000000000000001E-2</v>
      </c>
      <c r="BI28" s="184">
        <v>0.04</v>
      </c>
      <c r="BJ28" s="184">
        <v>2.5000000000000001E-2</v>
      </c>
      <c r="BK28" s="184">
        <v>0.04</v>
      </c>
      <c r="BL28" s="177"/>
      <c r="BM28" s="870" t="s">
        <v>509</v>
      </c>
      <c r="BN28" s="870"/>
      <c r="BO28" s="870"/>
      <c r="BP28" s="870"/>
      <c r="BQ28" s="870"/>
      <c r="BR28" s="870"/>
      <c r="BS28" s="870"/>
      <c r="BT28" s="870"/>
      <c r="BU28" s="870"/>
      <c r="BV28" s="870"/>
      <c r="BW28" s="870"/>
      <c r="BX28" s="870"/>
      <c r="BY28" s="177"/>
      <c r="BZ28" s="317" t="s">
        <v>127</v>
      </c>
      <c r="CA28" s="317" t="s">
        <v>122</v>
      </c>
      <c r="CB28" s="201">
        <v>0</v>
      </c>
      <c r="CC28" s="201">
        <v>0</v>
      </c>
      <c r="CD28" s="201">
        <v>0</v>
      </c>
      <c r="CE28" s="216">
        <v>0</v>
      </c>
      <c r="CF28" s="216">
        <v>0</v>
      </c>
      <c r="CG28" s="216">
        <v>0</v>
      </c>
      <c r="CH28" s="177"/>
      <c r="CI28" s="177"/>
      <c r="CJ28" s="177"/>
      <c r="CK28" s="177"/>
      <c r="CL28" s="177"/>
      <c r="CM28" s="177"/>
      <c r="CN28" s="177"/>
      <c r="CO28" s="177"/>
      <c r="CP28" s="177"/>
      <c r="CQ28" s="177"/>
      <c r="CR28" s="177"/>
      <c r="CS28" s="177"/>
      <c r="CT28" s="177"/>
      <c r="CU28" s="177"/>
      <c r="CV28" s="178"/>
      <c r="CW28" s="178"/>
      <c r="CX28" s="178"/>
      <c r="CY28" s="178"/>
      <c r="CZ28" s="178"/>
      <c r="DA28" s="178"/>
      <c r="DB28" s="178"/>
      <c r="DC28" s="178"/>
      <c r="DD28" s="178"/>
      <c r="DE28" s="178"/>
      <c r="DF28" s="178"/>
      <c r="DG28" s="178"/>
      <c r="DH28" s="178"/>
      <c r="DI28" s="178"/>
      <c r="DJ28" s="178"/>
      <c r="DK28" s="178"/>
      <c r="DL28" s="178"/>
      <c r="DM28" s="178"/>
      <c r="DN28" s="178"/>
    </row>
    <row r="29" spans="1:118">
      <c r="A29" s="177"/>
      <c r="B29" s="178" t="s">
        <v>125</v>
      </c>
      <c r="C29" s="178" t="s">
        <v>122</v>
      </c>
      <c r="D29" s="401">
        <v>170000</v>
      </c>
      <c r="E29" s="401">
        <v>55000</v>
      </c>
      <c r="F29" s="401">
        <v>35000</v>
      </c>
      <c r="G29" s="401">
        <v>24000</v>
      </c>
      <c r="H29" s="401">
        <v>15000</v>
      </c>
      <c r="I29" s="401">
        <v>75000</v>
      </c>
      <c r="J29" s="177"/>
      <c r="K29" s="177"/>
      <c r="L29" s="178" t="s">
        <v>125</v>
      </c>
      <c r="M29" s="178" t="s">
        <v>122</v>
      </c>
      <c r="N29" s="386">
        <v>795</v>
      </c>
      <c r="O29" s="386">
        <v>550</v>
      </c>
      <c r="P29" s="386">
        <v>110</v>
      </c>
      <c r="Q29" s="386">
        <v>530</v>
      </c>
      <c r="R29" s="386">
        <v>440</v>
      </c>
      <c r="S29" s="386">
        <v>1100</v>
      </c>
      <c r="T29" s="343">
        <f t="shared" si="0"/>
        <v>3000</v>
      </c>
      <c r="U29" s="177"/>
      <c r="V29" s="178" t="s">
        <v>125</v>
      </c>
      <c r="W29" s="178" t="s">
        <v>122</v>
      </c>
      <c r="X29" s="188">
        <v>29.8</v>
      </c>
      <c r="Y29" s="188">
        <v>8.35</v>
      </c>
      <c r="Z29" s="188">
        <v>30</v>
      </c>
      <c r="AA29" s="188">
        <v>5</v>
      </c>
      <c r="AB29" s="188">
        <v>1</v>
      </c>
      <c r="AC29" s="188">
        <v>20</v>
      </c>
      <c r="AD29" s="193">
        <v>32</v>
      </c>
      <c r="AE29" s="188"/>
      <c r="AF29" s="177"/>
      <c r="AG29" s="178" t="s">
        <v>125</v>
      </c>
      <c r="AH29" s="178" t="s">
        <v>122</v>
      </c>
      <c r="AI29" s="188">
        <v>1</v>
      </c>
      <c r="AJ29" s="188">
        <v>1</v>
      </c>
      <c r="AK29" s="188">
        <v>0</v>
      </c>
      <c r="AL29" s="188">
        <v>2</v>
      </c>
      <c r="AM29" s="188">
        <v>0</v>
      </c>
      <c r="AN29" s="188">
        <v>1</v>
      </c>
      <c r="AO29" s="188"/>
      <c r="AP29" s="188"/>
      <c r="AQ29" s="177"/>
      <c r="AR29" s="178" t="s">
        <v>125</v>
      </c>
      <c r="AS29" s="178" t="s">
        <v>122</v>
      </c>
      <c r="AT29" s="184" t="s">
        <v>18</v>
      </c>
      <c r="AU29" s="184" t="s">
        <v>18</v>
      </c>
      <c r="AV29" s="184" t="s">
        <v>18</v>
      </c>
      <c r="AW29" s="184" t="s">
        <v>15</v>
      </c>
      <c r="AX29" s="184" t="s">
        <v>18</v>
      </c>
      <c r="AY29" s="184" t="s">
        <v>15</v>
      </c>
      <c r="AZ29" s="402"/>
      <c r="BA29" s="402"/>
      <c r="BB29" s="177"/>
      <c r="BC29" s="184">
        <v>24</v>
      </c>
      <c r="BD29" s="184">
        <v>7.0000000000000007E-2</v>
      </c>
      <c r="BE29" s="184">
        <v>0.1</v>
      </c>
      <c r="BF29" s="184">
        <v>2.5000000000000001E-2</v>
      </c>
      <c r="BG29" s="184">
        <v>0.04</v>
      </c>
      <c r="BH29" s="184">
        <v>2.5000000000000001E-2</v>
      </c>
      <c r="BI29" s="184">
        <v>0.04</v>
      </c>
      <c r="BJ29" s="184">
        <v>2.5000000000000001E-2</v>
      </c>
      <c r="BK29" s="184">
        <v>0.04</v>
      </c>
      <c r="BL29" s="177"/>
      <c r="BM29" s="200" t="s">
        <v>530</v>
      </c>
      <c r="BN29" s="197">
        <v>65</v>
      </c>
      <c r="BO29" s="197">
        <v>75</v>
      </c>
      <c r="BP29" s="197">
        <v>90</v>
      </c>
      <c r="BQ29" s="197">
        <v>100</v>
      </c>
      <c r="BR29" s="197">
        <v>115</v>
      </c>
      <c r="BS29" s="197">
        <v>125</v>
      </c>
      <c r="BT29" s="197" t="s">
        <v>525</v>
      </c>
      <c r="BU29" s="197" t="s">
        <v>526</v>
      </c>
      <c r="BV29" s="196" t="s">
        <v>527</v>
      </c>
      <c r="BW29" s="196" t="s">
        <v>528</v>
      </c>
      <c r="BX29" s="196" t="s">
        <v>529</v>
      </c>
      <c r="BY29" s="177"/>
      <c r="BZ29" s="317" t="s">
        <v>128</v>
      </c>
      <c r="CA29" s="317" t="s">
        <v>122</v>
      </c>
      <c r="CB29" s="201">
        <v>0</v>
      </c>
      <c r="CC29" s="201">
        <v>0</v>
      </c>
      <c r="CD29" s="201">
        <v>0</v>
      </c>
      <c r="CE29" s="216">
        <v>0</v>
      </c>
      <c r="CF29" s="216">
        <v>0</v>
      </c>
      <c r="CG29" s="216">
        <v>0</v>
      </c>
      <c r="CH29" s="177"/>
      <c r="CI29" s="177"/>
      <c r="CJ29" s="177"/>
      <c r="CK29" s="177"/>
      <c r="CL29" s="177"/>
      <c r="CM29" s="177"/>
      <c r="CN29" s="177"/>
      <c r="CO29" s="177"/>
      <c r="CP29" s="177"/>
      <c r="CQ29" s="177"/>
      <c r="CR29" s="177"/>
      <c r="CS29" s="177"/>
      <c r="CT29" s="177"/>
      <c r="CU29" s="177"/>
      <c r="CV29" s="178"/>
      <c r="CW29" s="178"/>
      <c r="CX29" s="178"/>
      <c r="CY29" s="178"/>
      <c r="CZ29" s="178"/>
      <c r="DA29" s="178"/>
      <c r="DB29" s="178"/>
      <c r="DC29" s="178"/>
      <c r="DD29" s="178"/>
      <c r="DE29" s="178"/>
      <c r="DF29" s="178"/>
      <c r="DG29" s="178"/>
      <c r="DH29" s="178"/>
      <c r="DI29" s="178"/>
      <c r="DJ29" s="178"/>
      <c r="DK29" s="178"/>
      <c r="DL29" s="178"/>
      <c r="DM29" s="178"/>
      <c r="DN29" s="178"/>
    </row>
    <row r="30" spans="1:118">
      <c r="A30" s="177"/>
      <c r="B30" s="178" t="s">
        <v>126</v>
      </c>
      <c r="C30" s="178" t="s">
        <v>122</v>
      </c>
      <c r="D30" s="401">
        <v>170000</v>
      </c>
      <c r="E30" s="401">
        <v>55000</v>
      </c>
      <c r="F30" s="401">
        <v>35000</v>
      </c>
      <c r="G30" s="401">
        <v>28000</v>
      </c>
      <c r="H30" s="401">
        <v>15000</v>
      </c>
      <c r="I30" s="401">
        <v>75000</v>
      </c>
      <c r="J30" s="177"/>
      <c r="K30" s="177"/>
      <c r="L30" s="178" t="s">
        <v>126</v>
      </c>
      <c r="M30" s="178" t="s">
        <v>122</v>
      </c>
      <c r="N30" s="386">
        <v>795</v>
      </c>
      <c r="O30" s="386">
        <v>550</v>
      </c>
      <c r="P30" s="386">
        <v>110</v>
      </c>
      <c r="Q30" s="386">
        <v>530</v>
      </c>
      <c r="R30" s="386">
        <v>440</v>
      </c>
      <c r="S30" s="386">
        <v>1100</v>
      </c>
      <c r="T30" s="343">
        <f t="shared" si="0"/>
        <v>3000</v>
      </c>
      <c r="U30" s="177"/>
      <c r="V30" s="178" t="s">
        <v>126</v>
      </c>
      <c r="W30" s="178" t="s">
        <v>122</v>
      </c>
      <c r="X30" s="188">
        <v>29.8</v>
      </c>
      <c r="Y30" s="188">
        <v>8.35</v>
      </c>
      <c r="Z30" s="188">
        <v>30</v>
      </c>
      <c r="AA30" s="188">
        <v>5</v>
      </c>
      <c r="AB30" s="188">
        <v>1</v>
      </c>
      <c r="AC30" s="188">
        <v>20</v>
      </c>
      <c r="AD30" s="193">
        <v>32</v>
      </c>
      <c r="AE30" s="188"/>
      <c r="AF30" s="177"/>
      <c r="AG30" s="178" t="s">
        <v>126</v>
      </c>
      <c r="AH30" s="178" t="s">
        <v>122</v>
      </c>
      <c r="AI30" s="188">
        <v>1</v>
      </c>
      <c r="AJ30" s="188">
        <v>1</v>
      </c>
      <c r="AK30" s="188">
        <v>0</v>
      </c>
      <c r="AL30" s="188">
        <v>2</v>
      </c>
      <c r="AM30" s="188">
        <v>0</v>
      </c>
      <c r="AN30" s="188">
        <v>1</v>
      </c>
      <c r="AO30" s="188"/>
      <c r="AP30" s="188"/>
      <c r="AQ30" s="177"/>
      <c r="AR30" s="178" t="s">
        <v>126</v>
      </c>
      <c r="AS30" s="178" t="s">
        <v>122</v>
      </c>
      <c r="AT30" s="184" t="s">
        <v>18</v>
      </c>
      <c r="AU30" s="184" t="s">
        <v>18</v>
      </c>
      <c r="AV30" s="184" t="s">
        <v>18</v>
      </c>
      <c r="AW30" s="184" t="s">
        <v>15</v>
      </c>
      <c r="AX30" s="184" t="s">
        <v>18</v>
      </c>
      <c r="AY30" s="184" t="s">
        <v>15</v>
      </c>
      <c r="AZ30" s="402"/>
      <c r="BA30" s="402"/>
      <c r="BB30" s="177"/>
      <c r="BC30" s="184">
        <v>25</v>
      </c>
      <c r="BD30" s="184">
        <v>7.0000000000000007E-2</v>
      </c>
      <c r="BE30" s="184">
        <v>0.1</v>
      </c>
      <c r="BF30" s="184">
        <v>2.5000000000000001E-2</v>
      </c>
      <c r="BG30" s="184">
        <v>0.04</v>
      </c>
      <c r="BH30" s="184">
        <v>2.5000000000000001E-2</v>
      </c>
      <c r="BI30" s="184">
        <v>0.04</v>
      </c>
      <c r="BJ30" s="184">
        <v>2.5000000000000001E-2</v>
      </c>
      <c r="BK30" s="184">
        <v>0.04</v>
      </c>
      <c r="BL30" s="177"/>
      <c r="BM30" s="194">
        <v>5</v>
      </c>
      <c r="BN30" s="195">
        <v>1877.3333333333335</v>
      </c>
      <c r="BO30" s="195">
        <v>2445.666666666667</v>
      </c>
      <c r="BP30" s="195">
        <v>5426.666666666667</v>
      </c>
      <c r="BQ30" s="195">
        <v>8268.3333333333339</v>
      </c>
      <c r="BR30" s="188">
        <v>10248.333333333334</v>
      </c>
      <c r="BS30" s="188">
        <v>11513.333333333334</v>
      </c>
      <c r="BT30" s="188"/>
      <c r="BU30" s="188"/>
      <c r="BV30" s="188"/>
      <c r="BW30" s="188"/>
      <c r="BX30" s="188"/>
      <c r="BY30" s="177"/>
      <c r="BZ30" s="317" t="s">
        <v>129</v>
      </c>
      <c r="CA30" s="317" t="s">
        <v>122</v>
      </c>
      <c r="CB30" s="201">
        <v>0</v>
      </c>
      <c r="CC30" s="201">
        <v>0</v>
      </c>
      <c r="CD30" s="201">
        <v>0</v>
      </c>
      <c r="CE30" s="216">
        <v>0</v>
      </c>
      <c r="CF30" s="216">
        <v>0</v>
      </c>
      <c r="CG30" s="216">
        <v>0</v>
      </c>
      <c r="CH30" s="177"/>
      <c r="CI30" s="177"/>
      <c r="CJ30" s="177"/>
      <c r="CK30" s="177"/>
      <c r="CL30" s="177"/>
      <c r="CM30" s="177"/>
      <c r="CN30" s="177"/>
      <c r="CO30" s="177"/>
      <c r="CP30" s="177"/>
      <c r="CQ30" s="177"/>
      <c r="CR30" s="177"/>
      <c r="CS30" s="177"/>
      <c r="CT30" s="177"/>
      <c r="CU30" s="177"/>
      <c r="CV30" s="178"/>
      <c r="CW30" s="178"/>
      <c r="CX30" s="178"/>
      <c r="CY30" s="178"/>
      <c r="CZ30" s="178"/>
      <c r="DA30" s="178"/>
      <c r="DB30" s="178"/>
      <c r="DC30" s="178"/>
      <c r="DD30" s="178"/>
      <c r="DE30" s="178"/>
      <c r="DF30" s="178"/>
      <c r="DG30" s="178"/>
      <c r="DH30" s="178"/>
      <c r="DI30" s="178"/>
      <c r="DJ30" s="178"/>
      <c r="DK30" s="178"/>
      <c r="DL30" s="178"/>
      <c r="DM30" s="178"/>
      <c r="DN30" s="178"/>
    </row>
    <row r="31" spans="1:118">
      <c r="A31" s="177"/>
      <c r="B31" s="178" t="s">
        <v>127</v>
      </c>
      <c r="C31" s="178" t="s">
        <v>122</v>
      </c>
      <c r="D31" s="401">
        <v>170000</v>
      </c>
      <c r="E31" s="401">
        <v>55000</v>
      </c>
      <c r="F31" s="401">
        <v>35000</v>
      </c>
      <c r="G31" s="401">
        <v>28000</v>
      </c>
      <c r="H31" s="401">
        <v>15000</v>
      </c>
      <c r="I31" s="401">
        <v>75000</v>
      </c>
      <c r="J31" s="177"/>
      <c r="K31" s="177"/>
      <c r="L31" s="178" t="s">
        <v>127</v>
      </c>
      <c r="M31" s="178" t="s">
        <v>122</v>
      </c>
      <c r="N31" s="386">
        <v>795</v>
      </c>
      <c r="O31" s="386">
        <v>550</v>
      </c>
      <c r="P31" s="386">
        <v>110</v>
      </c>
      <c r="Q31" s="386">
        <v>530</v>
      </c>
      <c r="R31" s="386">
        <v>440</v>
      </c>
      <c r="S31" s="386">
        <v>1100</v>
      </c>
      <c r="T31" s="343">
        <f t="shared" si="0"/>
        <v>3000</v>
      </c>
      <c r="U31" s="177"/>
      <c r="V31" s="178" t="s">
        <v>127</v>
      </c>
      <c r="W31" s="178" t="s">
        <v>122</v>
      </c>
      <c r="X31" s="188">
        <v>30</v>
      </c>
      <c r="Y31" s="188">
        <v>8.35</v>
      </c>
      <c r="Z31" s="188">
        <v>30</v>
      </c>
      <c r="AA31" s="188">
        <v>5</v>
      </c>
      <c r="AB31" s="188">
        <v>1</v>
      </c>
      <c r="AC31" s="188">
        <v>20</v>
      </c>
      <c r="AD31" s="193">
        <v>32</v>
      </c>
      <c r="AE31" s="188"/>
      <c r="AF31" s="177"/>
      <c r="AG31" s="178" t="s">
        <v>127</v>
      </c>
      <c r="AH31" s="178" t="s">
        <v>122</v>
      </c>
      <c r="AI31" s="188">
        <v>1</v>
      </c>
      <c r="AJ31" s="188">
        <v>1</v>
      </c>
      <c r="AK31" s="188">
        <v>0</v>
      </c>
      <c r="AL31" s="188">
        <v>2</v>
      </c>
      <c r="AM31" s="188">
        <v>0</v>
      </c>
      <c r="AN31" s="188">
        <v>1</v>
      </c>
      <c r="AO31" s="188"/>
      <c r="AP31" s="188"/>
      <c r="AQ31" s="177"/>
      <c r="AR31" s="178" t="s">
        <v>127</v>
      </c>
      <c r="AS31" s="178" t="s">
        <v>122</v>
      </c>
      <c r="AT31" s="184" t="s">
        <v>18</v>
      </c>
      <c r="AU31" s="184" t="s">
        <v>18</v>
      </c>
      <c r="AV31" s="184" t="s">
        <v>18</v>
      </c>
      <c r="AW31" s="184" t="s">
        <v>15</v>
      </c>
      <c r="AX31" s="184" t="s">
        <v>18</v>
      </c>
      <c r="AY31" s="184" t="s">
        <v>15</v>
      </c>
      <c r="AZ31" s="402"/>
      <c r="BA31" s="402"/>
      <c r="BB31" s="177"/>
      <c r="BC31" s="439">
        <v>26</v>
      </c>
      <c r="BD31" s="439">
        <v>7.0000000000000007E-2</v>
      </c>
      <c r="BE31" s="439">
        <v>0.1</v>
      </c>
      <c r="BF31" s="439">
        <v>2.5000000000000001E-2</v>
      </c>
      <c r="BG31" s="439">
        <v>0.04</v>
      </c>
      <c r="BH31" s="439">
        <v>2.5000000000000001E-2</v>
      </c>
      <c r="BI31" s="439">
        <v>0.04</v>
      </c>
      <c r="BJ31" s="439">
        <v>2.5000000000000001E-2</v>
      </c>
      <c r="BK31" s="439">
        <v>0.04</v>
      </c>
      <c r="BL31" s="177"/>
      <c r="BM31" s="188">
        <v>10</v>
      </c>
      <c r="BN31" s="188">
        <v>3154.2500000000005</v>
      </c>
      <c r="BO31" s="188">
        <v>3421.0000000000005</v>
      </c>
      <c r="BP31" s="188">
        <v>6118.7500000000009</v>
      </c>
      <c r="BQ31" s="188">
        <v>8456.25</v>
      </c>
      <c r="BR31" s="188">
        <v>10161.25</v>
      </c>
      <c r="BS31" s="188">
        <v>11151.25</v>
      </c>
      <c r="BT31" s="188"/>
      <c r="BU31" s="188"/>
      <c r="BV31" s="188"/>
      <c r="BW31" s="188"/>
      <c r="BX31" s="188"/>
      <c r="BY31" s="177"/>
      <c r="BZ31" s="317" t="s">
        <v>131</v>
      </c>
      <c r="CA31" s="317" t="s">
        <v>130</v>
      </c>
      <c r="CB31" s="201">
        <v>0</v>
      </c>
      <c r="CC31" s="201">
        <v>0</v>
      </c>
      <c r="CD31" s="201">
        <v>0</v>
      </c>
      <c r="CE31" s="216">
        <v>0</v>
      </c>
      <c r="CF31" s="216">
        <v>0</v>
      </c>
      <c r="CG31" s="216">
        <v>0</v>
      </c>
      <c r="CH31" s="177"/>
      <c r="CI31" s="177"/>
      <c r="CJ31" s="177"/>
      <c r="CK31" s="177"/>
      <c r="CL31" s="177"/>
      <c r="CM31" s="177"/>
      <c r="CN31" s="177"/>
      <c r="CO31" s="177"/>
      <c r="CP31" s="177"/>
      <c r="CQ31" s="177"/>
      <c r="CR31" s="177"/>
      <c r="CS31" s="177"/>
      <c r="CT31" s="177"/>
      <c r="CU31" s="177"/>
      <c r="CV31" s="178"/>
      <c r="CW31" s="178"/>
      <c r="CX31" s="178"/>
      <c r="CY31" s="178"/>
      <c r="CZ31" s="178"/>
      <c r="DA31" s="178"/>
      <c r="DB31" s="178"/>
      <c r="DC31" s="178"/>
      <c r="DD31" s="178"/>
      <c r="DE31" s="178"/>
      <c r="DF31" s="178"/>
      <c r="DG31" s="178"/>
      <c r="DH31" s="178"/>
      <c r="DI31" s="178"/>
      <c r="DJ31" s="178"/>
      <c r="DK31" s="178"/>
      <c r="DL31" s="178"/>
      <c r="DM31" s="178"/>
      <c r="DN31" s="178"/>
    </row>
    <row r="32" spans="1:118">
      <c r="A32" s="177"/>
      <c r="B32" s="178" t="s">
        <v>128</v>
      </c>
      <c r="C32" s="178" t="s">
        <v>122</v>
      </c>
      <c r="D32" s="401">
        <v>170000</v>
      </c>
      <c r="E32" s="401">
        <v>55000</v>
      </c>
      <c r="F32" s="401">
        <v>35000</v>
      </c>
      <c r="G32" s="401">
        <v>24000</v>
      </c>
      <c r="H32" s="401">
        <v>15000</v>
      </c>
      <c r="I32" s="401">
        <v>75000</v>
      </c>
      <c r="J32" s="177"/>
      <c r="K32" s="177"/>
      <c r="L32" s="178" t="s">
        <v>128</v>
      </c>
      <c r="M32" s="178" t="s">
        <v>122</v>
      </c>
      <c r="N32" s="386">
        <v>795</v>
      </c>
      <c r="O32" s="386">
        <v>550</v>
      </c>
      <c r="P32" s="386">
        <v>110</v>
      </c>
      <c r="Q32" s="386">
        <v>530</v>
      </c>
      <c r="R32" s="386">
        <v>440</v>
      </c>
      <c r="S32" s="386">
        <v>1100</v>
      </c>
      <c r="T32" s="343">
        <f t="shared" si="0"/>
        <v>3000</v>
      </c>
      <c r="U32" s="177"/>
      <c r="V32" s="178" t="s">
        <v>128</v>
      </c>
      <c r="W32" s="178" t="s">
        <v>122</v>
      </c>
      <c r="X32" s="188">
        <v>30</v>
      </c>
      <c r="Y32" s="188">
        <v>8.35</v>
      </c>
      <c r="Z32" s="188">
        <v>30</v>
      </c>
      <c r="AA32" s="188">
        <v>5</v>
      </c>
      <c r="AB32" s="188">
        <v>1</v>
      </c>
      <c r="AC32" s="188">
        <v>20</v>
      </c>
      <c r="AD32" s="193">
        <v>32</v>
      </c>
      <c r="AE32" s="188"/>
      <c r="AF32" s="177"/>
      <c r="AG32" s="178" t="s">
        <v>128</v>
      </c>
      <c r="AH32" s="178" t="s">
        <v>122</v>
      </c>
      <c r="AI32" s="188">
        <v>2</v>
      </c>
      <c r="AJ32" s="188">
        <v>1</v>
      </c>
      <c r="AK32" s="188">
        <v>0</v>
      </c>
      <c r="AL32" s="188">
        <v>2</v>
      </c>
      <c r="AM32" s="188">
        <v>0</v>
      </c>
      <c r="AN32" s="188">
        <v>1</v>
      </c>
      <c r="AO32" s="188"/>
      <c r="AP32" s="188"/>
      <c r="AQ32" s="177"/>
      <c r="AR32" s="178" t="s">
        <v>128</v>
      </c>
      <c r="AS32" s="178" t="s">
        <v>122</v>
      </c>
      <c r="AT32" s="184" t="s">
        <v>18</v>
      </c>
      <c r="AU32" s="184" t="s">
        <v>18</v>
      </c>
      <c r="AV32" s="184" t="s">
        <v>18</v>
      </c>
      <c r="AW32" s="184" t="s">
        <v>15</v>
      </c>
      <c r="AX32" s="184" t="s">
        <v>18</v>
      </c>
      <c r="AY32" s="184" t="s">
        <v>15</v>
      </c>
      <c r="AZ32" s="402"/>
      <c r="BA32" s="402"/>
      <c r="BB32" s="177"/>
      <c r="BC32" s="439">
        <v>27</v>
      </c>
      <c r="BD32" s="439">
        <v>7.0000000000000007E-2</v>
      </c>
      <c r="BE32" s="439">
        <v>0.1</v>
      </c>
      <c r="BF32" s="439">
        <v>2.5000000000000001E-2</v>
      </c>
      <c r="BG32" s="439">
        <v>0.04</v>
      </c>
      <c r="BH32" s="439">
        <v>2.5000000000000001E-2</v>
      </c>
      <c r="BI32" s="439">
        <v>0.04</v>
      </c>
      <c r="BJ32" s="439">
        <v>2.5000000000000001E-2</v>
      </c>
      <c r="BK32" s="439">
        <v>0.04</v>
      </c>
      <c r="BL32" s="177"/>
      <c r="BM32" s="188">
        <v>15</v>
      </c>
      <c r="BN32" s="188">
        <v>4177.25</v>
      </c>
      <c r="BO32" s="188">
        <v>5156.25</v>
      </c>
      <c r="BP32" s="188">
        <v>7370.0000000000009</v>
      </c>
      <c r="BQ32" s="188">
        <v>8841.25</v>
      </c>
      <c r="BR32" s="188">
        <v>11013.75</v>
      </c>
      <c r="BS32" s="188">
        <v>13303.125000000002</v>
      </c>
      <c r="BT32" s="188"/>
      <c r="BU32" s="188"/>
      <c r="BV32" s="188"/>
      <c r="BW32" s="188"/>
      <c r="BX32" s="188"/>
      <c r="BY32" s="177"/>
      <c r="BZ32" s="317" t="s">
        <v>132</v>
      </c>
      <c r="CA32" s="317" t="s">
        <v>130</v>
      </c>
      <c r="CB32" s="201">
        <v>0</v>
      </c>
      <c r="CC32" s="201">
        <v>0</v>
      </c>
      <c r="CD32" s="201">
        <v>0</v>
      </c>
      <c r="CE32" s="216">
        <v>0</v>
      </c>
      <c r="CF32" s="216">
        <v>0</v>
      </c>
      <c r="CG32" s="216">
        <v>0</v>
      </c>
      <c r="CH32" s="177"/>
      <c r="CI32" s="177"/>
      <c r="CJ32" s="177"/>
      <c r="CK32" s="177"/>
      <c r="CL32" s="177"/>
      <c r="CM32" s="177"/>
      <c r="CN32" s="177"/>
      <c r="CO32" s="177"/>
      <c r="CP32" s="177"/>
      <c r="CQ32" s="177"/>
      <c r="CR32" s="177"/>
      <c r="CS32" s="177"/>
      <c r="CT32" s="177"/>
      <c r="CU32" s="177"/>
      <c r="CV32" s="178"/>
      <c r="CW32" s="178"/>
      <c r="CX32" s="178"/>
      <c r="CY32" s="178"/>
      <c r="CZ32" s="178"/>
      <c r="DA32" s="178"/>
      <c r="DB32" s="178"/>
      <c r="DC32" s="178"/>
      <c r="DD32" s="178"/>
      <c r="DE32" s="178"/>
      <c r="DF32" s="178"/>
      <c r="DG32" s="178"/>
      <c r="DH32" s="178"/>
      <c r="DI32" s="178"/>
      <c r="DJ32" s="178"/>
      <c r="DK32" s="178"/>
      <c r="DL32" s="178"/>
      <c r="DM32" s="178"/>
      <c r="DN32" s="178"/>
    </row>
    <row r="33" spans="1:118">
      <c r="A33" s="177"/>
      <c r="B33" s="178" t="s">
        <v>129</v>
      </c>
      <c r="C33" s="178" t="s">
        <v>122</v>
      </c>
      <c r="D33" s="401">
        <v>170000</v>
      </c>
      <c r="E33" s="401">
        <v>55000</v>
      </c>
      <c r="F33" s="401">
        <v>35000</v>
      </c>
      <c r="G33" s="401">
        <v>28000</v>
      </c>
      <c r="H33" s="401">
        <v>15000</v>
      </c>
      <c r="I33" s="401">
        <v>75000</v>
      </c>
      <c r="J33" s="177"/>
      <c r="K33" s="177"/>
      <c r="L33" s="178" t="s">
        <v>129</v>
      </c>
      <c r="M33" s="178" t="s">
        <v>122</v>
      </c>
      <c r="N33" s="386">
        <v>795</v>
      </c>
      <c r="O33" s="386">
        <v>550</v>
      </c>
      <c r="P33" s="386">
        <v>110</v>
      </c>
      <c r="Q33" s="386">
        <v>530</v>
      </c>
      <c r="R33" s="386">
        <v>440</v>
      </c>
      <c r="S33" s="386">
        <v>1100</v>
      </c>
      <c r="T33" s="343">
        <f t="shared" si="0"/>
        <v>3000</v>
      </c>
      <c r="U33" s="177"/>
      <c r="V33" s="178" t="s">
        <v>129</v>
      </c>
      <c r="W33" s="178" t="s">
        <v>122</v>
      </c>
      <c r="X33" s="188">
        <v>30</v>
      </c>
      <c r="Y33" s="188">
        <v>8.35</v>
      </c>
      <c r="Z33" s="188">
        <v>30</v>
      </c>
      <c r="AA33" s="188">
        <v>5</v>
      </c>
      <c r="AB33" s="188">
        <v>1</v>
      </c>
      <c r="AC33" s="188">
        <v>20</v>
      </c>
      <c r="AD33" s="193">
        <v>32</v>
      </c>
      <c r="AE33" s="188"/>
      <c r="AF33" s="177"/>
      <c r="AG33" s="178" t="s">
        <v>129</v>
      </c>
      <c r="AH33" s="178" t="s">
        <v>122</v>
      </c>
      <c r="AI33" s="188">
        <v>2</v>
      </c>
      <c r="AJ33" s="188">
        <v>1</v>
      </c>
      <c r="AK33" s="188">
        <v>0</v>
      </c>
      <c r="AL33" s="188">
        <v>2</v>
      </c>
      <c r="AM33" s="188">
        <v>0</v>
      </c>
      <c r="AN33" s="188">
        <v>1</v>
      </c>
      <c r="AO33" s="188"/>
      <c r="AP33" s="188"/>
      <c r="AQ33" s="177"/>
      <c r="AR33" s="178" t="s">
        <v>129</v>
      </c>
      <c r="AS33" s="178" t="s">
        <v>122</v>
      </c>
      <c r="AT33" s="184" t="s">
        <v>18</v>
      </c>
      <c r="AU33" s="184" t="s">
        <v>18</v>
      </c>
      <c r="AV33" s="184" t="s">
        <v>18</v>
      </c>
      <c r="AW33" s="184" t="s">
        <v>15</v>
      </c>
      <c r="AX33" s="184" t="s">
        <v>18</v>
      </c>
      <c r="AY33" s="184" t="s">
        <v>15</v>
      </c>
      <c r="AZ33" s="402"/>
      <c r="BA33" s="402"/>
      <c r="BB33" s="177"/>
      <c r="BC33" s="439">
        <v>28</v>
      </c>
      <c r="BD33" s="439">
        <v>7.0000000000000007E-2</v>
      </c>
      <c r="BE33" s="439">
        <v>0.1</v>
      </c>
      <c r="BF33" s="439">
        <v>2.5000000000000001E-2</v>
      </c>
      <c r="BG33" s="439">
        <v>0.04</v>
      </c>
      <c r="BH33" s="439">
        <v>2.5000000000000001E-2</v>
      </c>
      <c r="BI33" s="439">
        <v>0.04</v>
      </c>
      <c r="BJ33" s="439">
        <v>2.5000000000000001E-2</v>
      </c>
      <c r="BK33" s="439">
        <v>0.04</v>
      </c>
      <c r="BL33" s="177"/>
      <c r="BM33" s="188">
        <v>30</v>
      </c>
      <c r="BN33" s="188">
        <v>6022.5000000000009</v>
      </c>
      <c r="BO33" s="188">
        <v>6613.7500000000009</v>
      </c>
      <c r="BP33" s="188">
        <v>8566.25</v>
      </c>
      <c r="BQ33" s="188">
        <v>9845</v>
      </c>
      <c r="BR33" s="188">
        <v>14960.000000000002</v>
      </c>
      <c r="BS33" s="188">
        <v>16206.666666666668</v>
      </c>
      <c r="BT33" s="188"/>
      <c r="BU33" s="188"/>
      <c r="BV33" s="188"/>
      <c r="BW33" s="188"/>
      <c r="BX33" s="188"/>
      <c r="BY33" s="177"/>
      <c r="BZ33" s="317" t="s">
        <v>133</v>
      </c>
      <c r="CA33" s="317" t="s">
        <v>130</v>
      </c>
      <c r="CB33" s="201">
        <v>0</v>
      </c>
      <c r="CC33" s="201">
        <v>0</v>
      </c>
      <c r="CD33" s="201">
        <v>0</v>
      </c>
      <c r="CE33" s="216">
        <v>0</v>
      </c>
      <c r="CF33" s="216">
        <v>0</v>
      </c>
      <c r="CG33" s="216">
        <v>0</v>
      </c>
      <c r="CH33" s="177"/>
      <c r="CI33" s="177"/>
      <c r="CJ33" s="177"/>
      <c r="CK33" s="177"/>
      <c r="CL33" s="177"/>
      <c r="CM33" s="177"/>
      <c r="CN33" s="177"/>
      <c r="CO33" s="177"/>
      <c r="CP33" s="177"/>
      <c r="CQ33" s="177"/>
      <c r="CR33" s="177"/>
      <c r="CS33" s="177"/>
      <c r="CT33" s="177"/>
      <c r="CU33" s="177"/>
      <c r="CV33" s="178"/>
      <c r="CW33" s="178"/>
      <c r="CX33" s="178"/>
      <c r="CY33" s="178"/>
      <c r="CZ33" s="178"/>
      <c r="DA33" s="178"/>
      <c r="DB33" s="178"/>
      <c r="DC33" s="178"/>
      <c r="DD33" s="178"/>
      <c r="DE33" s="178"/>
      <c r="DF33" s="178"/>
      <c r="DG33" s="178"/>
      <c r="DH33" s="178"/>
      <c r="DI33" s="178"/>
      <c r="DJ33" s="178"/>
      <c r="DK33" s="178"/>
      <c r="DL33" s="178"/>
      <c r="DM33" s="178"/>
      <c r="DN33" s="178"/>
    </row>
    <row r="34" spans="1:118">
      <c r="A34" s="177"/>
      <c r="B34" s="178" t="s">
        <v>131</v>
      </c>
      <c r="C34" s="178" t="s">
        <v>130</v>
      </c>
      <c r="D34" s="184">
        <v>106000</v>
      </c>
      <c r="E34" s="184">
        <v>37000</v>
      </c>
      <c r="F34" s="184">
        <v>15000</v>
      </c>
      <c r="G34" s="184">
        <v>16500</v>
      </c>
      <c r="H34" s="184">
        <v>6600</v>
      </c>
      <c r="I34" s="184">
        <v>109000</v>
      </c>
      <c r="J34" s="177"/>
      <c r="K34" s="177"/>
      <c r="L34" s="178" t="s">
        <v>131</v>
      </c>
      <c r="M34" s="178" t="s">
        <v>130</v>
      </c>
      <c r="N34" s="481">
        <v>795</v>
      </c>
      <c r="O34" s="481">
        <v>485</v>
      </c>
      <c r="P34" s="481">
        <v>485</v>
      </c>
      <c r="Q34" s="481">
        <v>530</v>
      </c>
      <c r="R34" s="481">
        <v>395</v>
      </c>
      <c r="S34" s="481">
        <v>880</v>
      </c>
      <c r="T34" s="343">
        <f>25000/10</f>
        <v>2500</v>
      </c>
      <c r="U34" s="177"/>
      <c r="V34" s="178" t="s">
        <v>131</v>
      </c>
      <c r="W34" s="178" t="s">
        <v>130</v>
      </c>
      <c r="X34" s="188">
        <v>25</v>
      </c>
      <c r="Y34" s="188">
        <v>8.35</v>
      </c>
      <c r="Z34" s="188">
        <v>25</v>
      </c>
      <c r="AA34" s="188">
        <v>5</v>
      </c>
      <c r="AB34" s="188">
        <v>0.8</v>
      </c>
      <c r="AC34" s="188">
        <v>12</v>
      </c>
      <c r="AD34" s="193">
        <v>32</v>
      </c>
      <c r="AE34" s="188"/>
      <c r="AF34" s="177"/>
      <c r="AG34" s="178" t="s">
        <v>131</v>
      </c>
      <c r="AH34" s="178" t="s">
        <v>130</v>
      </c>
      <c r="AI34" s="184">
        <v>1</v>
      </c>
      <c r="AJ34" s="184">
        <v>1</v>
      </c>
      <c r="AK34" s="184">
        <v>2</v>
      </c>
      <c r="AL34" s="184">
        <v>2</v>
      </c>
      <c r="AM34" s="184">
        <v>0</v>
      </c>
      <c r="AN34" s="184">
        <v>1</v>
      </c>
      <c r="AO34" s="402"/>
      <c r="AP34" s="402"/>
      <c r="AQ34" s="177"/>
      <c r="AR34" s="178" t="s">
        <v>131</v>
      </c>
      <c r="AS34" s="178" t="s">
        <v>130</v>
      </c>
      <c r="AT34" s="184" t="s">
        <v>18</v>
      </c>
      <c r="AU34" s="184" t="s">
        <v>18</v>
      </c>
      <c r="AV34" s="184" t="s">
        <v>18</v>
      </c>
      <c r="AW34" s="184" t="s">
        <v>15</v>
      </c>
      <c r="AX34" s="184" t="s">
        <v>18</v>
      </c>
      <c r="AY34" s="184" t="s">
        <v>15</v>
      </c>
      <c r="AZ34" s="402"/>
      <c r="BA34" s="402"/>
      <c r="BB34" s="177"/>
      <c r="BC34" s="439">
        <v>29</v>
      </c>
      <c r="BD34" s="439">
        <v>7.0000000000000007E-2</v>
      </c>
      <c r="BE34" s="439">
        <v>0.1</v>
      </c>
      <c r="BF34" s="439">
        <v>2.5000000000000001E-2</v>
      </c>
      <c r="BG34" s="439">
        <v>0.04</v>
      </c>
      <c r="BH34" s="439">
        <v>2.5000000000000001E-2</v>
      </c>
      <c r="BI34" s="439">
        <v>0.04</v>
      </c>
      <c r="BJ34" s="439">
        <v>2.5000000000000001E-2</v>
      </c>
      <c r="BK34" s="439">
        <v>0.04</v>
      </c>
      <c r="BL34" s="177"/>
      <c r="BM34" s="188">
        <v>35</v>
      </c>
      <c r="BN34" s="188">
        <v>6710.0000000000009</v>
      </c>
      <c r="BO34" s="188">
        <v>7480.0000000000009</v>
      </c>
      <c r="BP34" s="188">
        <v>8896.25</v>
      </c>
      <c r="BQ34" s="188">
        <v>12251.250000000002</v>
      </c>
      <c r="BR34" s="188">
        <v>15693.333333333334</v>
      </c>
      <c r="BS34" s="188">
        <v>16610</v>
      </c>
      <c r="BT34" s="188"/>
      <c r="BU34" s="188"/>
      <c r="BV34" s="188"/>
      <c r="BW34" s="188"/>
      <c r="BX34" s="188"/>
      <c r="BY34" s="177"/>
      <c r="BZ34" s="317" t="s">
        <v>134</v>
      </c>
      <c r="CA34" s="317" t="s">
        <v>130</v>
      </c>
      <c r="CB34" s="201">
        <v>0</v>
      </c>
      <c r="CC34" s="201">
        <v>0</v>
      </c>
      <c r="CD34" s="201">
        <v>0</v>
      </c>
      <c r="CE34" s="216">
        <v>0</v>
      </c>
      <c r="CF34" s="216">
        <v>0</v>
      </c>
      <c r="CG34" s="216">
        <v>0</v>
      </c>
      <c r="CH34" s="177"/>
      <c r="CI34" s="177"/>
      <c r="CJ34" s="177"/>
      <c r="CK34" s="177"/>
      <c r="CL34" s="177"/>
      <c r="CM34" s="177"/>
      <c r="CN34" s="177"/>
      <c r="CO34" s="177"/>
      <c r="CP34" s="177"/>
      <c r="CQ34" s="177"/>
      <c r="CR34" s="177"/>
      <c r="CS34" s="177"/>
      <c r="CT34" s="177"/>
      <c r="CU34" s="177"/>
      <c r="CV34" s="178"/>
      <c r="CW34" s="178"/>
      <c r="CX34" s="178"/>
      <c r="CY34" s="178"/>
      <c r="CZ34" s="178"/>
      <c r="DA34" s="178"/>
      <c r="DB34" s="178"/>
      <c r="DC34" s="178"/>
      <c r="DD34" s="178"/>
      <c r="DE34" s="178"/>
      <c r="DF34" s="178"/>
      <c r="DG34" s="178"/>
      <c r="DH34" s="178"/>
      <c r="DI34" s="178"/>
      <c r="DJ34" s="178"/>
      <c r="DK34" s="178"/>
      <c r="DL34" s="178"/>
      <c r="DM34" s="178"/>
      <c r="DN34" s="178"/>
    </row>
    <row r="35" spans="1:118">
      <c r="A35" s="177"/>
      <c r="B35" s="178" t="s">
        <v>132</v>
      </c>
      <c r="C35" s="178" t="s">
        <v>130</v>
      </c>
      <c r="D35" s="401">
        <v>106000</v>
      </c>
      <c r="E35" s="401">
        <v>37000</v>
      </c>
      <c r="F35" s="401">
        <v>15000</v>
      </c>
      <c r="G35" s="401">
        <v>16500</v>
      </c>
      <c r="H35" s="401">
        <v>6600</v>
      </c>
      <c r="I35" s="401">
        <v>109000</v>
      </c>
      <c r="J35" s="177"/>
      <c r="K35" s="177"/>
      <c r="L35" s="178" t="s">
        <v>132</v>
      </c>
      <c r="M35" s="178" t="s">
        <v>130</v>
      </c>
      <c r="N35" s="481">
        <v>795</v>
      </c>
      <c r="O35" s="481">
        <v>485</v>
      </c>
      <c r="P35" s="481">
        <v>485</v>
      </c>
      <c r="Q35" s="481">
        <v>530</v>
      </c>
      <c r="R35" s="481">
        <v>395</v>
      </c>
      <c r="S35" s="481">
        <v>880</v>
      </c>
      <c r="T35" s="343">
        <f>25000/10</f>
        <v>2500</v>
      </c>
      <c r="U35" s="177"/>
      <c r="V35" s="178" t="s">
        <v>132</v>
      </c>
      <c r="W35" s="178" t="s">
        <v>130</v>
      </c>
      <c r="X35" s="188">
        <v>18</v>
      </c>
      <c r="Y35" s="188">
        <v>6.3</v>
      </c>
      <c r="Z35" s="188">
        <v>20</v>
      </c>
      <c r="AA35" s="188">
        <v>3</v>
      </c>
      <c r="AB35" s="188">
        <v>0.4</v>
      </c>
      <c r="AC35" s="188">
        <v>9</v>
      </c>
      <c r="AD35" s="193">
        <v>32</v>
      </c>
      <c r="AE35" s="188"/>
      <c r="AF35" s="177"/>
      <c r="AG35" s="178" t="s">
        <v>132</v>
      </c>
      <c r="AH35" s="178" t="s">
        <v>130</v>
      </c>
      <c r="AI35" s="184">
        <v>1</v>
      </c>
      <c r="AJ35" s="184">
        <v>1</v>
      </c>
      <c r="AK35" s="184">
        <v>0</v>
      </c>
      <c r="AL35" s="184">
        <v>2</v>
      </c>
      <c r="AM35" s="184">
        <v>0</v>
      </c>
      <c r="AN35" s="184">
        <v>1</v>
      </c>
      <c r="AO35" s="402"/>
      <c r="AP35" s="402"/>
      <c r="AQ35" s="177"/>
      <c r="AR35" s="178" t="s">
        <v>132</v>
      </c>
      <c r="AS35" s="178" t="s">
        <v>130</v>
      </c>
      <c r="AT35" s="184" t="s">
        <v>18</v>
      </c>
      <c r="AU35" s="184" t="s">
        <v>18</v>
      </c>
      <c r="AV35" s="184" t="s">
        <v>18</v>
      </c>
      <c r="AW35" s="184" t="s">
        <v>15</v>
      </c>
      <c r="AX35" s="184" t="s">
        <v>18</v>
      </c>
      <c r="AY35" s="184" t="s">
        <v>15</v>
      </c>
      <c r="AZ35" s="402"/>
      <c r="BA35" s="402"/>
      <c r="BB35" s="177"/>
      <c r="BC35" s="439">
        <v>30</v>
      </c>
      <c r="BD35" s="439">
        <v>7.0000000000000007E-2</v>
      </c>
      <c r="BE35" s="439">
        <v>0.1</v>
      </c>
      <c r="BF35" s="439">
        <v>2.5000000000000001E-2</v>
      </c>
      <c r="BG35" s="439">
        <v>0.04</v>
      </c>
      <c r="BH35" s="439">
        <v>2.5000000000000001E-2</v>
      </c>
      <c r="BI35" s="439">
        <v>0.04</v>
      </c>
      <c r="BJ35" s="439">
        <v>2.5000000000000001E-2</v>
      </c>
      <c r="BK35" s="439">
        <v>0.04</v>
      </c>
      <c r="BL35" s="177"/>
      <c r="BM35" s="188">
        <v>50</v>
      </c>
      <c r="BN35" s="188">
        <v>9955</v>
      </c>
      <c r="BO35" s="188">
        <v>10711.25</v>
      </c>
      <c r="BP35" s="188">
        <v>11673.750000000002</v>
      </c>
      <c r="BQ35" s="188">
        <v>15583.333333333334</v>
      </c>
      <c r="BR35" s="188">
        <v>45375.000000000007</v>
      </c>
      <c r="BS35" s="188">
        <v>45925.000000000007</v>
      </c>
      <c r="BT35" s="188"/>
      <c r="BU35" s="188"/>
      <c r="BV35" s="188"/>
      <c r="BW35" s="188"/>
      <c r="BX35" s="188"/>
      <c r="BY35" s="177"/>
      <c r="BZ35" s="317" t="s">
        <v>135</v>
      </c>
      <c r="CA35" s="317" t="s">
        <v>130</v>
      </c>
      <c r="CB35" s="201">
        <v>0</v>
      </c>
      <c r="CC35" s="201">
        <v>0</v>
      </c>
      <c r="CD35" s="201">
        <v>0</v>
      </c>
      <c r="CE35" s="216">
        <v>0</v>
      </c>
      <c r="CF35" s="216">
        <v>0</v>
      </c>
      <c r="CG35" s="216">
        <v>0</v>
      </c>
      <c r="CH35" s="177"/>
      <c r="CI35" s="177"/>
      <c r="CJ35" s="177"/>
      <c r="CK35" s="177"/>
      <c r="CL35" s="177"/>
      <c r="CM35" s="177"/>
      <c r="CN35" s="177"/>
      <c r="CO35" s="177"/>
      <c r="CP35" s="177"/>
      <c r="CQ35" s="177"/>
      <c r="CR35" s="177"/>
      <c r="CS35" s="177"/>
      <c r="CT35" s="177"/>
      <c r="CU35" s="177"/>
      <c r="CV35" s="178"/>
      <c r="CW35" s="178"/>
      <c r="CX35" s="178"/>
      <c r="CY35" s="178"/>
      <c r="CZ35" s="178"/>
      <c r="DA35" s="178"/>
      <c r="DB35" s="178"/>
      <c r="DC35" s="178"/>
      <c r="DD35" s="178"/>
      <c r="DE35" s="178"/>
      <c r="DF35" s="178"/>
      <c r="DG35" s="178"/>
      <c r="DH35" s="178"/>
      <c r="DI35" s="178"/>
      <c r="DJ35" s="178"/>
      <c r="DK35" s="178"/>
      <c r="DL35" s="178"/>
      <c r="DM35" s="178"/>
      <c r="DN35" s="178"/>
    </row>
    <row r="36" spans="1:118">
      <c r="A36" s="177"/>
      <c r="B36" s="178" t="s">
        <v>133</v>
      </c>
      <c r="C36" s="178" t="s">
        <v>130</v>
      </c>
      <c r="D36" s="401">
        <v>106000</v>
      </c>
      <c r="E36" s="401">
        <v>37000</v>
      </c>
      <c r="F36" s="401">
        <v>15000</v>
      </c>
      <c r="G36" s="401">
        <v>16500</v>
      </c>
      <c r="H36" s="401">
        <v>6600</v>
      </c>
      <c r="I36" s="401">
        <v>109000</v>
      </c>
      <c r="J36" s="177"/>
      <c r="K36" s="177"/>
      <c r="L36" s="178" t="s">
        <v>133</v>
      </c>
      <c r="M36" s="178" t="s">
        <v>130</v>
      </c>
      <c r="N36" s="481">
        <v>795</v>
      </c>
      <c r="O36" s="481">
        <v>485</v>
      </c>
      <c r="P36" s="481">
        <v>485</v>
      </c>
      <c r="Q36" s="481">
        <v>530</v>
      </c>
      <c r="R36" s="481">
        <v>395</v>
      </c>
      <c r="S36" s="481">
        <v>880</v>
      </c>
      <c r="T36" s="343">
        <f>20000/10</f>
        <v>2000</v>
      </c>
      <c r="U36" s="177"/>
      <c r="V36" s="178" t="s">
        <v>133</v>
      </c>
      <c r="W36" s="178" t="s">
        <v>130</v>
      </c>
      <c r="X36" s="188">
        <v>18</v>
      </c>
      <c r="Y36" s="188">
        <v>6.3</v>
      </c>
      <c r="Z36" s="188">
        <v>20</v>
      </c>
      <c r="AA36" s="188">
        <v>3</v>
      </c>
      <c r="AB36" s="188">
        <v>0.4</v>
      </c>
      <c r="AC36" s="188">
        <v>9</v>
      </c>
      <c r="AD36" s="193">
        <v>32</v>
      </c>
      <c r="AE36" s="188"/>
      <c r="AF36" s="177"/>
      <c r="AG36" s="178" t="s">
        <v>133</v>
      </c>
      <c r="AH36" s="178" t="s">
        <v>130</v>
      </c>
      <c r="AI36" s="184">
        <v>1</v>
      </c>
      <c r="AJ36" s="184">
        <v>1</v>
      </c>
      <c r="AK36" s="184">
        <v>0</v>
      </c>
      <c r="AL36" s="184">
        <v>2</v>
      </c>
      <c r="AM36" s="184">
        <v>0</v>
      </c>
      <c r="AN36" s="184">
        <v>1</v>
      </c>
      <c r="AO36" s="402"/>
      <c r="AP36" s="402"/>
      <c r="AQ36" s="177"/>
      <c r="AR36" s="178" t="s">
        <v>133</v>
      </c>
      <c r="AS36" s="178" t="s">
        <v>130</v>
      </c>
      <c r="AT36" s="184" t="s">
        <v>18</v>
      </c>
      <c r="AU36" s="184" t="s">
        <v>18</v>
      </c>
      <c r="AV36" s="184" t="s">
        <v>18</v>
      </c>
      <c r="AW36" s="184" t="s">
        <v>15</v>
      </c>
      <c r="AX36" s="184" t="s">
        <v>18</v>
      </c>
      <c r="AY36" s="184" t="s">
        <v>15</v>
      </c>
      <c r="AZ36" s="402"/>
      <c r="BA36" s="402"/>
      <c r="BB36" s="177"/>
      <c r="BC36" s="439" t="s">
        <v>705</v>
      </c>
      <c r="BD36" s="439">
        <f t="shared" ref="BD36:BK36" si="1">SUM(BD6:BD35)</f>
        <v>1.3600000000000008</v>
      </c>
      <c r="BE36" s="439">
        <f t="shared" si="1"/>
        <v>2.0000000000000004</v>
      </c>
      <c r="BF36" s="439">
        <f t="shared" si="1"/>
        <v>0.50000000000000011</v>
      </c>
      <c r="BG36" s="439">
        <f t="shared" si="1"/>
        <v>0.73000000000000009</v>
      </c>
      <c r="BH36" s="439">
        <f t="shared" si="1"/>
        <v>0.50000000000000011</v>
      </c>
      <c r="BI36" s="439">
        <f t="shared" si="1"/>
        <v>0.73000000000000009</v>
      </c>
      <c r="BJ36" s="439">
        <f t="shared" si="1"/>
        <v>0.50000000000000011</v>
      </c>
      <c r="BK36" s="439">
        <f t="shared" si="1"/>
        <v>0.73000000000000009</v>
      </c>
      <c r="BL36" s="177"/>
      <c r="BM36" s="188"/>
      <c r="BN36" s="188"/>
      <c r="BO36" s="188"/>
      <c r="BP36" s="188"/>
      <c r="BQ36" s="188"/>
      <c r="BR36" s="188"/>
      <c r="BS36" s="188"/>
      <c r="BT36" s="188"/>
      <c r="BU36" s="188"/>
      <c r="BV36" s="188"/>
      <c r="BW36" s="188"/>
      <c r="BX36" s="188"/>
      <c r="BY36" s="177"/>
      <c r="BZ36" s="317" t="s">
        <v>136</v>
      </c>
      <c r="CA36" s="317" t="s">
        <v>130</v>
      </c>
      <c r="CB36" s="201">
        <v>0</v>
      </c>
      <c r="CC36" s="201">
        <v>0</v>
      </c>
      <c r="CD36" s="201">
        <v>0</v>
      </c>
      <c r="CE36" s="216">
        <v>0</v>
      </c>
      <c r="CF36" s="216">
        <v>0</v>
      </c>
      <c r="CG36" s="216">
        <v>0</v>
      </c>
      <c r="CH36" s="177"/>
      <c r="CI36" s="177"/>
      <c r="CJ36" s="177"/>
      <c r="CK36" s="177"/>
      <c r="CL36" s="177"/>
      <c r="CM36" s="177"/>
      <c r="CN36" s="177"/>
      <c r="CO36" s="177"/>
      <c r="CP36" s="177"/>
      <c r="CQ36" s="177"/>
      <c r="CR36" s="177"/>
      <c r="CS36" s="177"/>
      <c r="CT36" s="177"/>
      <c r="CU36" s="177"/>
      <c r="CV36" s="178"/>
      <c r="CW36" s="178"/>
      <c r="CX36" s="178"/>
      <c r="CY36" s="178"/>
      <c r="CZ36" s="178"/>
      <c r="DA36" s="178"/>
      <c r="DB36" s="178"/>
      <c r="DC36" s="178"/>
      <c r="DD36" s="178"/>
      <c r="DE36" s="178"/>
      <c r="DF36" s="178"/>
      <c r="DG36" s="178"/>
      <c r="DH36" s="178"/>
      <c r="DI36" s="178"/>
      <c r="DJ36" s="178"/>
      <c r="DK36" s="178"/>
      <c r="DL36" s="178"/>
      <c r="DM36" s="178"/>
      <c r="DN36" s="178"/>
    </row>
    <row r="37" spans="1:118">
      <c r="A37" s="177"/>
      <c r="B37" s="178" t="s">
        <v>134</v>
      </c>
      <c r="C37" s="178" t="s">
        <v>130</v>
      </c>
      <c r="D37" s="401">
        <v>106000</v>
      </c>
      <c r="E37" s="401">
        <v>37000</v>
      </c>
      <c r="F37" s="401">
        <v>15000</v>
      </c>
      <c r="G37" s="401">
        <v>16500</v>
      </c>
      <c r="H37" s="401">
        <v>6600</v>
      </c>
      <c r="I37" s="401">
        <v>109000</v>
      </c>
      <c r="J37" s="177"/>
      <c r="K37" s="177"/>
      <c r="L37" s="178" t="s">
        <v>134</v>
      </c>
      <c r="M37" s="178" t="s">
        <v>130</v>
      </c>
      <c r="N37" s="481">
        <v>795</v>
      </c>
      <c r="O37" s="481">
        <v>485</v>
      </c>
      <c r="P37" s="481">
        <v>485</v>
      </c>
      <c r="Q37" s="481">
        <v>530</v>
      </c>
      <c r="R37" s="481">
        <v>395</v>
      </c>
      <c r="S37" s="481">
        <v>880</v>
      </c>
      <c r="T37" s="343">
        <f>20000/10</f>
        <v>2000</v>
      </c>
      <c r="U37" s="177"/>
      <c r="V37" s="178" t="s">
        <v>134</v>
      </c>
      <c r="W37" s="178" t="s">
        <v>130</v>
      </c>
      <c r="X37" s="184">
        <v>18</v>
      </c>
      <c r="Y37" s="184">
        <v>6.3</v>
      </c>
      <c r="Z37" s="184">
        <v>20</v>
      </c>
      <c r="AA37" s="184">
        <v>3</v>
      </c>
      <c r="AB37" s="184">
        <v>0.4</v>
      </c>
      <c r="AC37" s="184">
        <v>9</v>
      </c>
      <c r="AD37" s="193">
        <v>32</v>
      </c>
      <c r="AE37" s="402"/>
      <c r="AF37" s="177"/>
      <c r="AG37" s="178" t="s">
        <v>134</v>
      </c>
      <c r="AH37" s="178" t="s">
        <v>130</v>
      </c>
      <c r="AI37" s="184">
        <v>2</v>
      </c>
      <c r="AJ37" s="184">
        <v>1</v>
      </c>
      <c r="AK37" s="184">
        <v>0</v>
      </c>
      <c r="AL37" s="184">
        <v>2</v>
      </c>
      <c r="AM37" s="184">
        <v>0</v>
      </c>
      <c r="AN37" s="184">
        <v>1</v>
      </c>
      <c r="AO37" s="402"/>
      <c r="AP37" s="402"/>
      <c r="AQ37" s="177"/>
      <c r="AR37" s="178" t="s">
        <v>134</v>
      </c>
      <c r="AS37" s="178" t="s">
        <v>130</v>
      </c>
      <c r="AT37" s="184" t="s">
        <v>18</v>
      </c>
      <c r="AU37" s="184" t="s">
        <v>18</v>
      </c>
      <c r="AV37" s="184" t="s">
        <v>18</v>
      </c>
      <c r="AW37" s="184" t="s">
        <v>15</v>
      </c>
      <c r="AX37" s="184" t="s">
        <v>18</v>
      </c>
      <c r="AY37" s="184" t="s">
        <v>15</v>
      </c>
      <c r="AZ37" s="402"/>
      <c r="BA37" s="402"/>
      <c r="BB37" s="177"/>
      <c r="BC37" s="177"/>
      <c r="BD37" s="177"/>
      <c r="BE37" s="177"/>
      <c r="BF37" s="177"/>
      <c r="BG37" s="177"/>
      <c r="BH37" s="177"/>
      <c r="BI37" s="177"/>
      <c r="BJ37" s="177"/>
      <c r="BK37" s="177"/>
      <c r="BL37" s="177"/>
      <c r="BM37" s="188"/>
      <c r="BN37" s="188"/>
      <c r="BO37" s="188"/>
      <c r="BP37" s="188"/>
      <c r="BQ37" s="188"/>
      <c r="BR37" s="188"/>
      <c r="BS37" s="188"/>
      <c r="BT37" s="188"/>
      <c r="BU37" s="188"/>
      <c r="BV37" s="188"/>
      <c r="BW37" s="188"/>
      <c r="BX37" s="188"/>
      <c r="BY37" s="177"/>
      <c r="BZ37" s="317" t="s">
        <v>137</v>
      </c>
      <c r="CA37" s="317" t="s">
        <v>122</v>
      </c>
      <c r="CB37" s="201">
        <v>0</v>
      </c>
      <c r="CC37" s="201">
        <v>0</v>
      </c>
      <c r="CD37" s="201">
        <v>0</v>
      </c>
      <c r="CE37" s="216">
        <v>0</v>
      </c>
      <c r="CF37" s="216">
        <v>0</v>
      </c>
      <c r="CG37" s="216">
        <v>0</v>
      </c>
      <c r="CH37" s="177"/>
      <c r="CI37" s="177"/>
      <c r="CJ37" s="177"/>
      <c r="CK37" s="177"/>
      <c r="CL37" s="177"/>
      <c r="CM37" s="177"/>
      <c r="CN37" s="177"/>
      <c r="CO37" s="177"/>
      <c r="CP37" s="177"/>
      <c r="CQ37" s="177"/>
      <c r="CR37" s="177"/>
      <c r="CS37" s="177"/>
      <c r="CT37" s="177"/>
      <c r="CU37" s="177"/>
      <c r="CV37" s="178"/>
      <c r="CW37" s="178"/>
      <c r="CX37" s="178"/>
      <c r="CY37" s="178"/>
      <c r="CZ37" s="178"/>
      <c r="DA37" s="178"/>
      <c r="DB37" s="178"/>
      <c r="DC37" s="178"/>
      <c r="DD37" s="178"/>
      <c r="DE37" s="178"/>
      <c r="DF37" s="178"/>
      <c r="DG37" s="178"/>
      <c r="DH37" s="178"/>
      <c r="DI37" s="178"/>
      <c r="DJ37" s="178"/>
      <c r="DK37" s="178"/>
      <c r="DL37" s="178"/>
      <c r="DM37" s="178"/>
      <c r="DN37" s="178"/>
    </row>
    <row r="38" spans="1:118">
      <c r="A38" s="177"/>
      <c r="B38" s="178" t="s">
        <v>135</v>
      </c>
      <c r="C38" s="178" t="s">
        <v>130</v>
      </c>
      <c r="D38" s="184">
        <v>75000</v>
      </c>
      <c r="E38" s="184">
        <v>15000</v>
      </c>
      <c r="F38" s="184">
        <v>5000</v>
      </c>
      <c r="G38" s="184">
        <v>15000</v>
      </c>
      <c r="H38" s="184">
        <v>6500</v>
      </c>
      <c r="I38" s="184">
        <v>17000</v>
      </c>
      <c r="J38" s="177"/>
      <c r="K38" s="177"/>
      <c r="L38" s="178" t="s">
        <v>135</v>
      </c>
      <c r="M38" s="178" t="s">
        <v>130</v>
      </c>
      <c r="N38" s="343">
        <v>485</v>
      </c>
      <c r="O38" s="343">
        <v>240</v>
      </c>
      <c r="P38" s="386">
        <v>110</v>
      </c>
      <c r="Q38" s="386">
        <v>440</v>
      </c>
      <c r="R38" s="386">
        <v>220</v>
      </c>
      <c r="S38" s="343">
        <v>705</v>
      </c>
      <c r="T38" s="343">
        <f>15000/10</f>
        <v>1500</v>
      </c>
      <c r="U38" s="177"/>
      <c r="V38" s="178" t="s">
        <v>135</v>
      </c>
      <c r="W38" s="178" t="s">
        <v>130</v>
      </c>
      <c r="X38" s="184">
        <v>18</v>
      </c>
      <c r="Y38" s="184">
        <v>6.3</v>
      </c>
      <c r="Z38" s="184">
        <v>20</v>
      </c>
      <c r="AA38" s="184">
        <v>3</v>
      </c>
      <c r="AB38" s="184">
        <v>0.4</v>
      </c>
      <c r="AC38" s="184">
        <v>9</v>
      </c>
      <c r="AD38" s="193">
        <v>32</v>
      </c>
      <c r="AE38" s="402"/>
      <c r="AF38" s="177"/>
      <c r="AG38" s="178" t="s">
        <v>135</v>
      </c>
      <c r="AH38" s="178" t="s">
        <v>130</v>
      </c>
      <c r="AI38" s="184">
        <v>2</v>
      </c>
      <c r="AJ38" s="184">
        <v>1</v>
      </c>
      <c r="AK38" s="184">
        <v>0</v>
      </c>
      <c r="AL38" s="184">
        <v>2</v>
      </c>
      <c r="AM38" s="184">
        <v>0</v>
      </c>
      <c r="AN38" s="184">
        <v>1</v>
      </c>
      <c r="AO38" s="402"/>
      <c r="AP38" s="402"/>
      <c r="AQ38" s="177"/>
      <c r="AR38" s="178" t="s">
        <v>135</v>
      </c>
      <c r="AS38" s="178" t="s">
        <v>130</v>
      </c>
      <c r="AT38" s="184" t="s">
        <v>18</v>
      </c>
      <c r="AU38" s="184" t="s">
        <v>18</v>
      </c>
      <c r="AV38" s="184" t="s">
        <v>18</v>
      </c>
      <c r="AW38" s="184" t="s">
        <v>15</v>
      </c>
      <c r="AX38" s="184" t="s">
        <v>18</v>
      </c>
      <c r="AY38" s="184" t="s">
        <v>15</v>
      </c>
      <c r="AZ38" s="402"/>
      <c r="BA38" s="402"/>
      <c r="BB38" s="177"/>
      <c r="BC38" s="177"/>
      <c r="BD38" s="177"/>
      <c r="BE38" s="177"/>
      <c r="BF38" s="177"/>
      <c r="BG38" s="177"/>
      <c r="BH38" s="177"/>
      <c r="BI38" s="177"/>
      <c r="BJ38" s="177"/>
      <c r="BK38" s="177"/>
      <c r="BL38" s="177"/>
      <c r="BM38" s="188"/>
      <c r="BN38" s="188"/>
      <c r="BO38" s="188"/>
      <c r="BP38" s="188"/>
      <c r="BQ38" s="188"/>
      <c r="BR38" s="188"/>
      <c r="BS38" s="188"/>
      <c r="BT38" s="188"/>
      <c r="BU38" s="188"/>
      <c r="BV38" s="188"/>
      <c r="BW38" s="188"/>
      <c r="BX38" s="188"/>
      <c r="BY38" s="177"/>
      <c r="BZ38" s="317" t="s">
        <v>138</v>
      </c>
      <c r="CA38" s="317" t="s">
        <v>122</v>
      </c>
      <c r="CB38" s="201">
        <v>0</v>
      </c>
      <c r="CC38" s="201">
        <v>0</v>
      </c>
      <c r="CD38" s="201">
        <v>0</v>
      </c>
      <c r="CE38" s="216">
        <v>0</v>
      </c>
      <c r="CF38" s="216">
        <v>0</v>
      </c>
      <c r="CG38" s="216">
        <v>0</v>
      </c>
      <c r="CH38" s="177"/>
      <c r="CI38" s="177"/>
      <c r="CJ38" s="177"/>
      <c r="CK38" s="177"/>
      <c r="CL38" s="177"/>
      <c r="CM38" s="177"/>
      <c r="CN38" s="177"/>
      <c r="CO38" s="177"/>
      <c r="CP38" s="177"/>
      <c r="CQ38" s="177"/>
      <c r="CR38" s="177"/>
      <c r="CS38" s="177"/>
      <c r="CT38" s="177"/>
      <c r="CU38" s="177"/>
      <c r="CV38" s="178"/>
      <c r="CW38" s="178"/>
      <c r="CX38" s="178"/>
      <c r="CY38" s="178"/>
      <c r="CZ38" s="178"/>
      <c r="DA38" s="178"/>
      <c r="DB38" s="178"/>
      <c r="DC38" s="178"/>
      <c r="DD38" s="178"/>
      <c r="DE38" s="178"/>
      <c r="DF38" s="178"/>
      <c r="DG38" s="178"/>
      <c r="DH38" s="178"/>
      <c r="DI38" s="178"/>
      <c r="DJ38" s="178"/>
      <c r="DK38" s="178"/>
      <c r="DL38" s="178"/>
      <c r="DM38" s="178"/>
      <c r="DN38" s="178"/>
    </row>
    <row r="39" spans="1:118">
      <c r="A39" s="177"/>
      <c r="B39" s="178" t="s">
        <v>136</v>
      </c>
      <c r="C39" s="178" t="s">
        <v>130</v>
      </c>
      <c r="D39" s="401">
        <v>75000</v>
      </c>
      <c r="E39" s="401">
        <v>15000</v>
      </c>
      <c r="F39" s="401">
        <v>5000</v>
      </c>
      <c r="G39" s="401">
        <v>15000</v>
      </c>
      <c r="H39" s="401">
        <v>6500</v>
      </c>
      <c r="I39" s="401">
        <v>17000</v>
      </c>
      <c r="J39" s="177"/>
      <c r="K39" s="177"/>
      <c r="L39" s="178" t="s">
        <v>136</v>
      </c>
      <c r="M39" s="178" t="s">
        <v>130</v>
      </c>
      <c r="N39" s="343">
        <v>485</v>
      </c>
      <c r="O39" s="343">
        <v>240</v>
      </c>
      <c r="P39" s="386">
        <v>110</v>
      </c>
      <c r="Q39" s="386">
        <v>440</v>
      </c>
      <c r="R39" s="386">
        <v>220</v>
      </c>
      <c r="S39" s="343">
        <v>705</v>
      </c>
      <c r="T39" s="343">
        <f>15000/10</f>
        <v>1500</v>
      </c>
      <c r="U39" s="177"/>
      <c r="V39" s="178" t="s">
        <v>136</v>
      </c>
      <c r="W39" s="178" t="s">
        <v>130</v>
      </c>
      <c r="X39" s="184">
        <v>24</v>
      </c>
      <c r="Y39" s="184">
        <v>10</v>
      </c>
      <c r="Z39" s="184">
        <v>25</v>
      </c>
      <c r="AA39" s="184">
        <v>5</v>
      </c>
      <c r="AB39" s="184">
        <v>2</v>
      </c>
      <c r="AC39" s="184">
        <v>15</v>
      </c>
      <c r="AD39" s="193">
        <v>32</v>
      </c>
      <c r="AE39" s="402"/>
      <c r="AF39" s="177"/>
      <c r="AG39" s="178" t="s">
        <v>136</v>
      </c>
      <c r="AH39" s="178" t="s">
        <v>130</v>
      </c>
      <c r="AI39" s="184">
        <v>2</v>
      </c>
      <c r="AJ39" s="184">
        <v>1</v>
      </c>
      <c r="AK39" s="184">
        <v>0</v>
      </c>
      <c r="AL39" s="184">
        <v>2</v>
      </c>
      <c r="AM39" s="184">
        <v>0</v>
      </c>
      <c r="AN39" s="184">
        <v>1</v>
      </c>
      <c r="AO39" s="402"/>
      <c r="AP39" s="402"/>
      <c r="AQ39" s="177"/>
      <c r="AR39" s="178" t="s">
        <v>136</v>
      </c>
      <c r="AS39" s="178" t="s">
        <v>130</v>
      </c>
      <c r="AT39" s="184" t="s">
        <v>18</v>
      </c>
      <c r="AU39" s="184" t="s">
        <v>18</v>
      </c>
      <c r="AV39" s="184" t="s">
        <v>18</v>
      </c>
      <c r="AW39" s="184" t="s">
        <v>15</v>
      </c>
      <c r="AX39" s="184" t="s">
        <v>18</v>
      </c>
      <c r="AY39" s="184" t="s">
        <v>15</v>
      </c>
      <c r="AZ39" s="402"/>
      <c r="BA39" s="402"/>
      <c r="BB39" s="177"/>
      <c r="BC39" s="177"/>
      <c r="BD39" s="177"/>
      <c r="BE39" s="177"/>
      <c r="BF39" s="177"/>
      <c r="BG39" s="177"/>
      <c r="BH39" s="177"/>
      <c r="BI39" s="177"/>
      <c r="BJ39" s="177"/>
      <c r="BK39" s="177"/>
      <c r="BL39" s="177"/>
      <c r="BM39" s="178" t="s">
        <v>514</v>
      </c>
      <c r="BN39" s="178"/>
      <c r="BO39" s="178"/>
      <c r="BP39" s="178"/>
      <c r="BQ39" s="178" t="s">
        <v>510</v>
      </c>
      <c r="BR39" s="178"/>
      <c r="BS39" s="178"/>
      <c r="BT39" s="178"/>
      <c r="BU39" s="178"/>
      <c r="BV39" s="178"/>
      <c r="BW39" s="178"/>
      <c r="BX39" s="178"/>
      <c r="BY39" s="177"/>
      <c r="BZ39" s="317" t="s">
        <v>139</v>
      </c>
      <c r="CA39" s="317" t="s">
        <v>122</v>
      </c>
      <c r="CB39" s="201">
        <v>0</v>
      </c>
      <c r="CC39" s="201">
        <v>0</v>
      </c>
      <c r="CD39" s="201">
        <v>0</v>
      </c>
      <c r="CE39" s="216">
        <v>0</v>
      </c>
      <c r="CF39" s="216">
        <v>0</v>
      </c>
      <c r="CG39" s="216">
        <v>0</v>
      </c>
      <c r="CH39" s="177"/>
      <c r="CI39" s="177"/>
      <c r="CJ39" s="177"/>
      <c r="CK39" s="177"/>
      <c r="CL39" s="177"/>
      <c r="CM39" s="177"/>
      <c r="CN39" s="177"/>
      <c r="CO39" s="177"/>
      <c r="CP39" s="177"/>
      <c r="CQ39" s="177"/>
      <c r="CR39" s="177"/>
      <c r="CS39" s="177"/>
      <c r="CT39" s="177"/>
      <c r="CU39" s="177"/>
      <c r="CV39" s="178"/>
      <c r="CW39" s="178"/>
      <c r="CX39" s="178"/>
      <c r="CY39" s="178"/>
      <c r="CZ39" s="178"/>
      <c r="DA39" s="178"/>
      <c r="DB39" s="178"/>
      <c r="DC39" s="178"/>
      <c r="DD39" s="178"/>
      <c r="DE39" s="178"/>
      <c r="DF39" s="178"/>
      <c r="DG39" s="178"/>
      <c r="DH39" s="178"/>
      <c r="DI39" s="178"/>
      <c r="DJ39" s="178"/>
      <c r="DK39" s="178"/>
      <c r="DL39" s="178"/>
      <c r="DM39" s="178"/>
      <c r="DN39" s="178"/>
    </row>
    <row r="40" spans="1:118">
      <c r="A40" s="177"/>
      <c r="B40" s="178" t="s">
        <v>137</v>
      </c>
      <c r="C40" s="178" t="s">
        <v>122</v>
      </c>
      <c r="D40" s="401">
        <v>75000</v>
      </c>
      <c r="E40" s="401">
        <v>15000</v>
      </c>
      <c r="F40" s="401">
        <v>5000</v>
      </c>
      <c r="G40" s="401">
        <v>15000</v>
      </c>
      <c r="H40" s="401">
        <v>4618</v>
      </c>
      <c r="I40" s="401">
        <v>17000</v>
      </c>
      <c r="J40" s="177"/>
      <c r="K40" s="177"/>
      <c r="L40" s="178" t="s">
        <v>137</v>
      </c>
      <c r="M40" s="178" t="s">
        <v>122</v>
      </c>
      <c r="N40" s="343">
        <v>485</v>
      </c>
      <c r="O40" s="343">
        <v>240</v>
      </c>
      <c r="P40" s="386">
        <v>110</v>
      </c>
      <c r="Q40" s="386">
        <v>440</v>
      </c>
      <c r="R40" s="386">
        <v>220</v>
      </c>
      <c r="S40" s="343">
        <v>705</v>
      </c>
      <c r="T40" s="343">
        <f>15000/10</f>
        <v>1500</v>
      </c>
      <c r="U40" s="177"/>
      <c r="V40" s="178" t="s">
        <v>137</v>
      </c>
      <c r="W40" s="178" t="s">
        <v>122</v>
      </c>
      <c r="X40" s="184">
        <v>24</v>
      </c>
      <c r="Y40" s="184">
        <v>7</v>
      </c>
      <c r="Z40" s="184">
        <v>22</v>
      </c>
      <c r="AA40" s="184">
        <v>4</v>
      </c>
      <c r="AB40" s="184">
        <v>2</v>
      </c>
      <c r="AC40" s="184">
        <v>15</v>
      </c>
      <c r="AD40" s="193">
        <v>32</v>
      </c>
      <c r="AE40" s="402"/>
      <c r="AF40" s="177"/>
      <c r="AG40" s="178" t="s">
        <v>137</v>
      </c>
      <c r="AH40" s="178" t="s">
        <v>122</v>
      </c>
      <c r="AI40" s="184">
        <v>2</v>
      </c>
      <c r="AJ40" s="184">
        <v>1</v>
      </c>
      <c r="AK40" s="184">
        <v>0</v>
      </c>
      <c r="AL40" s="184">
        <v>2</v>
      </c>
      <c r="AM40" s="184">
        <v>0</v>
      </c>
      <c r="AN40" s="184">
        <v>1</v>
      </c>
      <c r="AO40" s="402"/>
      <c r="AP40" s="402"/>
      <c r="AQ40" s="177"/>
      <c r="AR40" s="178" t="s">
        <v>137</v>
      </c>
      <c r="AS40" s="178" t="s">
        <v>122</v>
      </c>
      <c r="AT40" s="184" t="s">
        <v>18</v>
      </c>
      <c r="AU40" s="184" t="s">
        <v>18</v>
      </c>
      <c r="AV40" s="184" t="s">
        <v>18</v>
      </c>
      <c r="AW40" s="184" t="s">
        <v>15</v>
      </c>
      <c r="AX40" s="184" t="s">
        <v>18</v>
      </c>
      <c r="AY40" s="184" t="s">
        <v>15</v>
      </c>
      <c r="AZ40" s="402"/>
      <c r="BA40" s="402"/>
      <c r="BB40" s="177"/>
      <c r="BC40" s="177"/>
      <c r="BD40" s="177"/>
      <c r="BE40" s="177"/>
      <c r="BF40" s="177"/>
      <c r="BG40" s="177"/>
      <c r="BH40" s="177"/>
      <c r="BI40" s="177"/>
      <c r="BJ40" s="177"/>
      <c r="BK40" s="177"/>
      <c r="BL40" s="177"/>
      <c r="BM40" s="178" t="s">
        <v>515</v>
      </c>
      <c r="BN40" s="178"/>
      <c r="BO40" s="178">
        <v>1750</v>
      </c>
      <c r="BP40" s="178"/>
      <c r="BQ40" s="178" t="s">
        <v>511</v>
      </c>
      <c r="BR40" s="178"/>
      <c r="BS40" s="178">
        <v>0.55000000000000004</v>
      </c>
      <c r="BT40" s="178"/>
      <c r="BU40" s="178"/>
      <c r="BV40" s="178"/>
      <c r="BW40" s="178"/>
      <c r="BX40" s="178"/>
      <c r="BY40" s="177"/>
      <c r="BZ40" s="317" t="s">
        <v>140</v>
      </c>
      <c r="CA40" s="317" t="s">
        <v>122</v>
      </c>
      <c r="CB40" s="201">
        <v>0</v>
      </c>
      <c r="CC40" s="201">
        <v>0</v>
      </c>
      <c r="CD40" s="201">
        <v>0</v>
      </c>
      <c r="CE40" s="216">
        <v>0</v>
      </c>
      <c r="CF40" s="216">
        <v>0</v>
      </c>
      <c r="CG40" s="216">
        <v>0</v>
      </c>
      <c r="CH40" s="177"/>
      <c r="CI40" s="177"/>
      <c r="CJ40" s="177"/>
      <c r="CK40" s="177"/>
      <c r="CL40" s="177"/>
      <c r="CM40" s="177"/>
      <c r="CN40" s="177"/>
      <c r="CO40" s="177"/>
      <c r="CP40" s="177"/>
      <c r="CQ40" s="177"/>
      <c r="CR40" s="177"/>
      <c r="CS40" s="177"/>
      <c r="CT40" s="177"/>
      <c r="CU40" s="177"/>
      <c r="CV40" s="178"/>
      <c r="CW40" s="178"/>
      <c r="CX40" s="178"/>
      <c r="CY40" s="178"/>
      <c r="CZ40" s="178"/>
      <c r="DA40" s="178"/>
      <c r="DB40" s="178"/>
      <c r="DC40" s="178"/>
      <c r="DD40" s="178"/>
      <c r="DE40" s="178"/>
      <c r="DF40" s="178"/>
      <c r="DG40" s="178"/>
      <c r="DH40" s="178"/>
      <c r="DI40" s="178"/>
      <c r="DJ40" s="178"/>
      <c r="DK40" s="178"/>
      <c r="DL40" s="178"/>
      <c r="DM40" s="178"/>
      <c r="DN40" s="178"/>
    </row>
    <row r="41" spans="1:118">
      <c r="A41" s="177"/>
      <c r="B41" s="178" t="s">
        <v>138</v>
      </c>
      <c r="C41" s="178" t="s">
        <v>122</v>
      </c>
      <c r="D41" s="401">
        <v>75000</v>
      </c>
      <c r="E41" s="401">
        <v>15000</v>
      </c>
      <c r="F41" s="401">
        <v>5000</v>
      </c>
      <c r="G41" s="401">
        <v>15000</v>
      </c>
      <c r="H41" s="401">
        <v>4618</v>
      </c>
      <c r="I41" s="401">
        <v>17000</v>
      </c>
      <c r="J41" s="177"/>
      <c r="K41" s="177"/>
      <c r="L41" s="178" t="s">
        <v>138</v>
      </c>
      <c r="M41" s="178" t="s">
        <v>122</v>
      </c>
      <c r="N41" s="343">
        <v>485</v>
      </c>
      <c r="O41" s="343">
        <v>240</v>
      </c>
      <c r="P41" s="386">
        <v>110</v>
      </c>
      <c r="Q41" s="386">
        <v>440</v>
      </c>
      <c r="R41" s="386">
        <v>220</v>
      </c>
      <c r="S41" s="343">
        <v>705</v>
      </c>
      <c r="T41" s="343">
        <f>15000/10</f>
        <v>1500</v>
      </c>
      <c r="U41" s="177"/>
      <c r="V41" s="178" t="s">
        <v>138</v>
      </c>
      <c r="W41" s="178" t="s">
        <v>122</v>
      </c>
      <c r="X41" s="184">
        <v>24</v>
      </c>
      <c r="Y41" s="184">
        <v>7</v>
      </c>
      <c r="Z41" s="184">
        <v>25</v>
      </c>
      <c r="AA41" s="184">
        <v>4</v>
      </c>
      <c r="AB41" s="184">
        <v>2</v>
      </c>
      <c r="AC41" s="184">
        <v>15</v>
      </c>
      <c r="AD41" s="193">
        <v>32</v>
      </c>
      <c r="AE41" s="402"/>
      <c r="AF41" s="177"/>
      <c r="AG41" s="178" t="s">
        <v>138</v>
      </c>
      <c r="AH41" s="178" t="s">
        <v>122</v>
      </c>
      <c r="AI41" s="184">
        <v>2</v>
      </c>
      <c r="AJ41" s="184">
        <v>1</v>
      </c>
      <c r="AK41" s="184">
        <v>0</v>
      </c>
      <c r="AL41" s="184">
        <v>2</v>
      </c>
      <c r="AM41" s="184">
        <v>0</v>
      </c>
      <c r="AN41" s="184">
        <v>1</v>
      </c>
      <c r="AO41" s="402"/>
      <c r="AP41" s="402"/>
      <c r="AQ41" s="177"/>
      <c r="AR41" s="178" t="s">
        <v>138</v>
      </c>
      <c r="AS41" s="178" t="s">
        <v>122</v>
      </c>
      <c r="AT41" s="184" t="s">
        <v>18</v>
      </c>
      <c r="AU41" s="184" t="s">
        <v>18</v>
      </c>
      <c r="AV41" s="184" t="s">
        <v>18</v>
      </c>
      <c r="AW41" s="184" t="s">
        <v>15</v>
      </c>
      <c r="AX41" s="184" t="s">
        <v>18</v>
      </c>
      <c r="AY41" s="184" t="s">
        <v>15</v>
      </c>
      <c r="AZ41" s="402"/>
      <c r="BA41" s="402"/>
      <c r="BB41" s="177"/>
      <c r="BC41" s="177"/>
      <c r="BD41" s="177"/>
      <c r="BE41" s="177"/>
      <c r="BF41" s="177"/>
      <c r="BG41" s="177"/>
      <c r="BH41" s="177"/>
      <c r="BI41" s="177"/>
      <c r="BJ41" s="177"/>
      <c r="BK41" s="177"/>
      <c r="BL41" s="177"/>
      <c r="BM41" s="178" t="s">
        <v>516</v>
      </c>
      <c r="BN41" s="178"/>
      <c r="BO41" s="178">
        <v>1450</v>
      </c>
      <c r="BP41" s="178"/>
      <c r="BQ41" s="178" t="s">
        <v>512</v>
      </c>
      <c r="BR41" s="178"/>
      <c r="BS41" s="178" t="s">
        <v>513</v>
      </c>
      <c r="BT41" s="178"/>
      <c r="BU41" s="178"/>
      <c r="BV41" s="178"/>
      <c r="BW41" s="178"/>
      <c r="BX41" s="178"/>
      <c r="BY41" s="177"/>
      <c r="BZ41" s="317" t="s">
        <v>141</v>
      </c>
      <c r="CA41" s="317" t="s">
        <v>122</v>
      </c>
      <c r="CB41" s="201">
        <v>0</v>
      </c>
      <c r="CC41" s="201">
        <v>0</v>
      </c>
      <c r="CD41" s="201">
        <v>0</v>
      </c>
      <c r="CE41" s="216">
        <v>0</v>
      </c>
      <c r="CF41" s="216">
        <v>0</v>
      </c>
      <c r="CG41" s="216">
        <v>0</v>
      </c>
      <c r="CH41" s="177"/>
      <c r="CI41" s="177"/>
      <c r="CJ41" s="177"/>
      <c r="CK41" s="177"/>
      <c r="CL41" s="177"/>
      <c r="CM41" s="177"/>
      <c r="CN41" s="177"/>
      <c r="CO41" s="177"/>
      <c r="CP41" s="177"/>
      <c r="CQ41" s="177"/>
      <c r="CR41" s="177"/>
      <c r="CS41" s="177"/>
      <c r="CT41" s="177"/>
      <c r="CU41" s="177"/>
      <c r="CV41" s="178"/>
      <c r="CW41" s="178"/>
      <c r="CX41" s="178"/>
      <c r="CY41" s="178"/>
      <c r="CZ41" s="178"/>
      <c r="DA41" s="178"/>
      <c r="DB41" s="178"/>
      <c r="DC41" s="178"/>
      <c r="DD41" s="178"/>
      <c r="DE41" s="178"/>
      <c r="DF41" s="178"/>
      <c r="DG41" s="178"/>
      <c r="DH41" s="178"/>
      <c r="DI41" s="178"/>
      <c r="DJ41" s="178"/>
      <c r="DK41" s="178"/>
      <c r="DL41" s="178"/>
      <c r="DM41" s="178"/>
      <c r="DN41" s="178"/>
    </row>
    <row r="42" spans="1:118">
      <c r="A42" s="177"/>
      <c r="B42" s="178" t="s">
        <v>139</v>
      </c>
      <c r="C42" s="178" t="s">
        <v>122</v>
      </c>
      <c r="D42" s="184">
        <v>100000</v>
      </c>
      <c r="E42" s="184">
        <v>35000</v>
      </c>
      <c r="F42" s="184">
        <v>20000</v>
      </c>
      <c r="G42" s="184">
        <v>17000</v>
      </c>
      <c r="H42" s="184">
        <v>4500</v>
      </c>
      <c r="I42" s="184">
        <v>32000</v>
      </c>
      <c r="J42" s="177"/>
      <c r="K42" s="177"/>
      <c r="L42" s="178" t="s">
        <v>139</v>
      </c>
      <c r="M42" s="178" t="s">
        <v>122</v>
      </c>
      <c r="N42" s="481">
        <v>570</v>
      </c>
      <c r="O42" s="386">
        <v>240</v>
      </c>
      <c r="P42" s="386">
        <v>110</v>
      </c>
      <c r="Q42" s="386">
        <v>530</v>
      </c>
      <c r="R42" s="386">
        <v>220</v>
      </c>
      <c r="S42" s="481">
        <v>705</v>
      </c>
      <c r="T42" s="343">
        <f>25000/10</f>
        <v>2500</v>
      </c>
      <c r="U42" s="177"/>
      <c r="V42" s="178" t="s">
        <v>139</v>
      </c>
      <c r="W42" s="178" t="s">
        <v>122</v>
      </c>
      <c r="X42" s="184">
        <v>19</v>
      </c>
      <c r="Y42" s="184">
        <v>10</v>
      </c>
      <c r="Z42" s="184">
        <v>25</v>
      </c>
      <c r="AA42" s="184">
        <v>5</v>
      </c>
      <c r="AB42" s="184">
        <v>2</v>
      </c>
      <c r="AC42" s="184">
        <v>15</v>
      </c>
      <c r="AD42" s="193">
        <v>32</v>
      </c>
      <c r="AE42" s="402"/>
      <c r="AF42" s="177"/>
      <c r="AG42" s="178" t="s">
        <v>139</v>
      </c>
      <c r="AH42" s="178" t="s">
        <v>122</v>
      </c>
      <c r="AI42" s="184">
        <v>2</v>
      </c>
      <c r="AJ42" s="184">
        <v>1</v>
      </c>
      <c r="AK42" s="184">
        <v>0</v>
      </c>
      <c r="AL42" s="184">
        <v>2</v>
      </c>
      <c r="AM42" s="184">
        <v>0</v>
      </c>
      <c r="AN42" s="184">
        <v>1</v>
      </c>
      <c r="AO42" s="402"/>
      <c r="AP42" s="402"/>
      <c r="AQ42" s="177"/>
      <c r="AR42" s="178" t="s">
        <v>139</v>
      </c>
      <c r="AS42" s="178" t="s">
        <v>122</v>
      </c>
      <c r="AT42" s="184" t="s">
        <v>18</v>
      </c>
      <c r="AU42" s="184" t="s">
        <v>18</v>
      </c>
      <c r="AV42" s="184" t="s">
        <v>18</v>
      </c>
      <c r="AW42" s="184" t="s">
        <v>15</v>
      </c>
      <c r="AX42" s="184" t="s">
        <v>18</v>
      </c>
      <c r="AY42" s="184" t="s">
        <v>15</v>
      </c>
      <c r="AZ42" s="402"/>
      <c r="BA42" s="402"/>
      <c r="BB42" s="177"/>
      <c r="BC42" s="177"/>
      <c r="BD42" s="177"/>
      <c r="BE42" s="177"/>
      <c r="BF42" s="177"/>
      <c r="BG42" s="177"/>
      <c r="BH42" s="177"/>
      <c r="BI42" s="177"/>
      <c r="BJ42" s="177"/>
      <c r="BK42" s="177"/>
      <c r="BL42" s="177"/>
      <c r="BM42" s="178" t="s">
        <v>511</v>
      </c>
      <c r="BN42" s="178"/>
      <c r="BO42" s="178">
        <v>0.55000000000000004</v>
      </c>
      <c r="BP42" s="178"/>
      <c r="BQ42" s="178"/>
      <c r="BR42" s="178"/>
      <c r="BS42" s="178"/>
      <c r="BT42" s="178"/>
      <c r="BU42" s="178"/>
      <c r="BV42" s="178"/>
      <c r="BW42" s="178"/>
      <c r="BX42" s="178"/>
      <c r="BY42" s="177"/>
      <c r="BZ42" s="317" t="s">
        <v>143</v>
      </c>
      <c r="CA42" s="317" t="s">
        <v>142</v>
      </c>
      <c r="CB42" s="201">
        <v>0</v>
      </c>
      <c r="CC42" s="201">
        <v>0</v>
      </c>
      <c r="CD42" s="201">
        <v>0</v>
      </c>
      <c r="CE42" s="216">
        <v>0</v>
      </c>
      <c r="CF42" s="216">
        <v>0</v>
      </c>
      <c r="CG42" s="216">
        <v>0</v>
      </c>
      <c r="CH42" s="177"/>
      <c r="CI42" s="177"/>
      <c r="CJ42" s="177"/>
      <c r="CK42" s="177"/>
      <c r="CL42" s="177"/>
      <c r="CM42" s="177"/>
      <c r="CN42" s="177"/>
      <c r="CO42" s="177"/>
      <c r="CP42" s="177"/>
      <c r="CQ42" s="177"/>
      <c r="CR42" s="177"/>
      <c r="CS42" s="177"/>
      <c r="CT42" s="177"/>
      <c r="CU42" s="177"/>
      <c r="CV42" s="178"/>
      <c r="CW42" s="178"/>
      <c r="CX42" s="178"/>
      <c r="CY42" s="178"/>
      <c r="CZ42" s="178"/>
      <c r="DA42" s="178"/>
      <c r="DB42" s="178"/>
      <c r="DC42" s="178"/>
      <c r="DD42" s="178"/>
      <c r="DE42" s="178"/>
      <c r="DF42" s="178"/>
      <c r="DG42" s="178"/>
      <c r="DH42" s="178"/>
      <c r="DI42" s="178"/>
      <c r="DJ42" s="178"/>
      <c r="DK42" s="178"/>
      <c r="DL42" s="178"/>
      <c r="DM42" s="178"/>
      <c r="DN42" s="178"/>
    </row>
    <row r="43" spans="1:118">
      <c r="A43" s="177"/>
      <c r="B43" s="178" t="s">
        <v>140</v>
      </c>
      <c r="C43" s="178" t="s">
        <v>122</v>
      </c>
      <c r="D43" s="401">
        <v>100000</v>
      </c>
      <c r="E43" s="401">
        <v>35000</v>
      </c>
      <c r="F43" s="401">
        <v>20000</v>
      </c>
      <c r="G43" s="184">
        <v>14200</v>
      </c>
      <c r="H43" s="184">
        <v>4200</v>
      </c>
      <c r="I43" s="401">
        <v>32000</v>
      </c>
      <c r="J43" s="177"/>
      <c r="K43" s="177"/>
      <c r="L43" s="178" t="s">
        <v>140</v>
      </c>
      <c r="M43" s="178" t="s">
        <v>122</v>
      </c>
      <c r="N43" s="481">
        <v>570</v>
      </c>
      <c r="O43" s="386">
        <v>240</v>
      </c>
      <c r="P43" s="386">
        <v>110</v>
      </c>
      <c r="Q43" s="386">
        <v>530</v>
      </c>
      <c r="R43" s="386">
        <v>220</v>
      </c>
      <c r="S43" s="481">
        <v>705</v>
      </c>
      <c r="T43" s="343">
        <f>20000/10</f>
        <v>2000</v>
      </c>
      <c r="U43" s="177"/>
      <c r="V43" s="178" t="s">
        <v>140</v>
      </c>
      <c r="W43" s="178" t="s">
        <v>122</v>
      </c>
      <c r="X43" s="184">
        <v>23</v>
      </c>
      <c r="Y43" s="184">
        <v>11.5</v>
      </c>
      <c r="Z43" s="184">
        <v>25</v>
      </c>
      <c r="AA43" s="184">
        <v>5</v>
      </c>
      <c r="AB43" s="184">
        <v>2</v>
      </c>
      <c r="AC43" s="184">
        <v>15</v>
      </c>
      <c r="AD43" s="193">
        <v>32</v>
      </c>
      <c r="AE43" s="402"/>
      <c r="AF43" s="177"/>
      <c r="AG43" s="178" t="s">
        <v>140</v>
      </c>
      <c r="AH43" s="178" t="s">
        <v>122</v>
      </c>
      <c r="AI43" s="184">
        <v>1</v>
      </c>
      <c r="AJ43" s="184">
        <v>1</v>
      </c>
      <c r="AK43" s="184">
        <v>0</v>
      </c>
      <c r="AL43" s="184">
        <v>2</v>
      </c>
      <c r="AM43" s="184">
        <v>0</v>
      </c>
      <c r="AN43" s="184">
        <v>1</v>
      </c>
      <c r="AO43" s="402"/>
      <c r="AP43" s="402"/>
      <c r="AQ43" s="177"/>
      <c r="AR43" s="178" t="s">
        <v>140</v>
      </c>
      <c r="AS43" s="178" t="s">
        <v>122</v>
      </c>
      <c r="AT43" s="184" t="s">
        <v>18</v>
      </c>
      <c r="AU43" s="184" t="s">
        <v>18</v>
      </c>
      <c r="AV43" s="184" t="s">
        <v>18</v>
      </c>
      <c r="AW43" s="184" t="s">
        <v>15</v>
      </c>
      <c r="AX43" s="184" t="s">
        <v>18</v>
      </c>
      <c r="AY43" s="184" t="s">
        <v>15</v>
      </c>
      <c r="AZ43" s="402"/>
      <c r="BA43" s="402"/>
      <c r="BB43" s="177"/>
      <c r="BC43" s="177"/>
      <c r="BD43" s="177"/>
      <c r="BE43" s="177"/>
      <c r="BF43" s="177"/>
      <c r="BG43" s="177"/>
      <c r="BH43" s="177"/>
      <c r="BI43" s="177"/>
      <c r="BJ43" s="177"/>
      <c r="BK43" s="177"/>
      <c r="BL43" s="177"/>
      <c r="BM43" s="178" t="s">
        <v>512</v>
      </c>
      <c r="BN43" s="178"/>
      <c r="BO43" s="178" t="s">
        <v>513</v>
      </c>
      <c r="BP43" s="178"/>
      <c r="BQ43" s="178"/>
      <c r="BR43" s="178"/>
      <c r="BS43" s="178"/>
      <c r="BT43" s="178"/>
      <c r="BU43" s="178"/>
      <c r="BV43" s="178"/>
      <c r="BW43" s="178"/>
      <c r="BX43" s="178"/>
      <c r="BY43" s="177"/>
      <c r="BZ43" s="317" t="s">
        <v>144</v>
      </c>
      <c r="CA43" s="317" t="s">
        <v>142</v>
      </c>
      <c r="CB43" s="201">
        <v>0</v>
      </c>
      <c r="CC43" s="201">
        <v>0</v>
      </c>
      <c r="CD43" s="201">
        <v>0</v>
      </c>
      <c r="CE43" s="216">
        <v>0</v>
      </c>
      <c r="CF43" s="216">
        <v>0</v>
      </c>
      <c r="CG43" s="216">
        <v>0</v>
      </c>
      <c r="CH43" s="177"/>
      <c r="CI43" s="177"/>
      <c r="CJ43" s="177"/>
      <c r="CK43" s="177"/>
      <c r="CL43" s="177"/>
      <c r="CM43" s="177"/>
      <c r="CN43" s="177"/>
      <c r="CO43" s="177"/>
      <c r="CP43" s="177"/>
      <c r="CQ43" s="177"/>
      <c r="CR43" s="177"/>
      <c r="CS43" s="177"/>
      <c r="CT43" s="177"/>
      <c r="CU43" s="177"/>
      <c r="CV43" s="178"/>
      <c r="CW43" s="178"/>
      <c r="CX43" s="178"/>
      <c r="CY43" s="178"/>
      <c r="CZ43" s="178"/>
      <c r="DA43" s="178"/>
      <c r="DB43" s="178"/>
      <c r="DC43" s="178"/>
      <c r="DD43" s="178"/>
      <c r="DE43" s="178"/>
      <c r="DF43" s="178"/>
      <c r="DG43" s="178"/>
      <c r="DH43" s="178"/>
      <c r="DI43" s="178"/>
      <c r="DJ43" s="178"/>
      <c r="DK43" s="178"/>
      <c r="DL43" s="178"/>
      <c r="DM43" s="178"/>
      <c r="DN43" s="178"/>
    </row>
    <row r="44" spans="1:118">
      <c r="A44" s="177"/>
      <c r="B44" s="178" t="s">
        <v>141</v>
      </c>
      <c r="C44" s="178" t="s">
        <v>122</v>
      </c>
      <c r="D44" s="401">
        <v>100000</v>
      </c>
      <c r="E44" s="401">
        <v>35000</v>
      </c>
      <c r="F44" s="401">
        <v>20000</v>
      </c>
      <c r="G44" s="184">
        <v>14200</v>
      </c>
      <c r="H44" s="184">
        <v>4200</v>
      </c>
      <c r="I44" s="401">
        <v>32000</v>
      </c>
      <c r="J44" s="177"/>
      <c r="K44" s="177"/>
      <c r="L44" s="178" t="s">
        <v>141</v>
      </c>
      <c r="M44" s="178" t="s">
        <v>122</v>
      </c>
      <c r="N44" s="481">
        <v>570</v>
      </c>
      <c r="O44" s="386">
        <v>240</v>
      </c>
      <c r="P44" s="386">
        <v>110</v>
      </c>
      <c r="Q44" s="386">
        <v>530</v>
      </c>
      <c r="R44" s="386">
        <v>220</v>
      </c>
      <c r="S44" s="481">
        <v>705</v>
      </c>
      <c r="T44" s="343">
        <f>20000/10</f>
        <v>2000</v>
      </c>
      <c r="U44" s="177"/>
      <c r="V44" s="178" t="s">
        <v>141</v>
      </c>
      <c r="W44" s="178" t="s">
        <v>122</v>
      </c>
      <c r="X44" s="184">
        <v>23</v>
      </c>
      <c r="Y44" s="184">
        <v>11.5</v>
      </c>
      <c r="Z44" s="184">
        <v>25</v>
      </c>
      <c r="AA44" s="184">
        <v>5</v>
      </c>
      <c r="AB44" s="184">
        <v>2</v>
      </c>
      <c r="AC44" s="184">
        <v>15</v>
      </c>
      <c r="AD44" s="193">
        <v>32</v>
      </c>
      <c r="AE44" s="402"/>
      <c r="AF44" s="177"/>
      <c r="AG44" s="178" t="s">
        <v>141</v>
      </c>
      <c r="AH44" s="178" t="s">
        <v>122</v>
      </c>
      <c r="AI44" s="184">
        <v>2</v>
      </c>
      <c r="AJ44" s="184">
        <v>1</v>
      </c>
      <c r="AK44" s="184">
        <v>0</v>
      </c>
      <c r="AL44" s="184">
        <v>2</v>
      </c>
      <c r="AM44" s="184">
        <v>0</v>
      </c>
      <c r="AN44" s="184">
        <v>1</v>
      </c>
      <c r="AO44" s="402"/>
      <c r="AP44" s="402"/>
      <c r="AQ44" s="177"/>
      <c r="AR44" s="178" t="s">
        <v>141</v>
      </c>
      <c r="AS44" s="178" t="s">
        <v>122</v>
      </c>
      <c r="AT44" s="184" t="s">
        <v>18</v>
      </c>
      <c r="AU44" s="184" t="s">
        <v>18</v>
      </c>
      <c r="AV44" s="184" t="s">
        <v>18</v>
      </c>
      <c r="AW44" s="184" t="s">
        <v>15</v>
      </c>
      <c r="AX44" s="184" t="s">
        <v>18</v>
      </c>
      <c r="AY44" s="184" t="s">
        <v>15</v>
      </c>
      <c r="AZ44" s="402"/>
      <c r="BA44" s="402"/>
      <c r="BB44" s="177"/>
      <c r="BC44" s="177"/>
      <c r="BD44" s="177"/>
      <c r="BE44" s="177"/>
      <c r="BF44" s="177"/>
      <c r="BG44" s="177"/>
      <c r="BH44" s="177"/>
      <c r="BI44" s="177"/>
      <c r="BJ44" s="177"/>
      <c r="BK44" s="177"/>
      <c r="BL44" s="177"/>
      <c r="BM44" s="178"/>
      <c r="BN44" s="178"/>
      <c r="BO44" s="178"/>
      <c r="BP44" s="178"/>
      <c r="BQ44" s="178"/>
      <c r="BR44" s="178"/>
      <c r="BS44" s="178"/>
      <c r="BT44" s="178"/>
      <c r="BU44" s="178"/>
      <c r="BV44" s="178"/>
      <c r="BW44" s="178"/>
      <c r="BX44" s="178"/>
      <c r="BY44" s="177"/>
      <c r="BZ44" s="317" t="s">
        <v>145</v>
      </c>
      <c r="CA44" s="317" t="s">
        <v>142</v>
      </c>
      <c r="CB44" s="201">
        <v>0</v>
      </c>
      <c r="CC44" s="201">
        <v>0</v>
      </c>
      <c r="CD44" s="201">
        <v>0</v>
      </c>
      <c r="CE44" s="216">
        <v>0</v>
      </c>
      <c r="CF44" s="216">
        <v>0</v>
      </c>
      <c r="CG44" s="216">
        <v>0</v>
      </c>
      <c r="CH44" s="177"/>
      <c r="CI44" s="177"/>
      <c r="CJ44" s="177"/>
      <c r="CK44" s="177"/>
      <c r="CL44" s="177"/>
      <c r="CM44" s="177"/>
      <c r="CN44" s="177"/>
      <c r="CO44" s="177"/>
      <c r="CP44" s="177"/>
      <c r="CQ44" s="177"/>
      <c r="CR44" s="177"/>
      <c r="CS44" s="177"/>
      <c r="CT44" s="177"/>
      <c r="CU44" s="177"/>
      <c r="CV44" s="178"/>
      <c r="CW44" s="178"/>
      <c r="CX44" s="178"/>
      <c r="CY44" s="178"/>
      <c r="CZ44" s="178"/>
      <c r="DA44" s="178"/>
      <c r="DB44" s="178"/>
      <c r="DC44" s="178"/>
      <c r="DD44" s="178"/>
      <c r="DE44" s="178"/>
      <c r="DF44" s="178"/>
      <c r="DG44" s="178"/>
      <c r="DH44" s="178"/>
      <c r="DI44" s="178"/>
      <c r="DJ44" s="178"/>
      <c r="DK44" s="178"/>
      <c r="DL44" s="178"/>
      <c r="DM44" s="178"/>
      <c r="DN44" s="178"/>
    </row>
    <row r="45" spans="1:118">
      <c r="A45" s="177"/>
      <c r="B45" s="178" t="s">
        <v>143</v>
      </c>
      <c r="C45" s="178" t="s">
        <v>142</v>
      </c>
      <c r="D45" s="184">
        <v>185000</v>
      </c>
      <c r="E45" s="184">
        <v>37000</v>
      </c>
      <c r="F45" s="184">
        <v>30000</v>
      </c>
      <c r="G45" s="184">
        <v>20000</v>
      </c>
      <c r="H45" s="184">
        <v>6200</v>
      </c>
      <c r="I45" s="184">
        <v>30000</v>
      </c>
      <c r="J45" s="177"/>
      <c r="K45" s="177"/>
      <c r="L45" s="178" t="s">
        <v>143</v>
      </c>
      <c r="M45" s="178" t="s">
        <v>142</v>
      </c>
      <c r="N45" s="386">
        <v>660</v>
      </c>
      <c r="O45" s="386">
        <v>440</v>
      </c>
      <c r="P45" s="386">
        <v>110</v>
      </c>
      <c r="Q45" s="386">
        <v>530</v>
      </c>
      <c r="R45" s="386">
        <v>395</v>
      </c>
      <c r="S45" s="386">
        <v>880</v>
      </c>
      <c r="T45" s="343">
        <f>25000/10</f>
        <v>2500</v>
      </c>
      <c r="U45" s="177"/>
      <c r="V45" s="178" t="s">
        <v>143</v>
      </c>
      <c r="W45" s="178" t="s">
        <v>142</v>
      </c>
      <c r="X45" s="184">
        <v>13</v>
      </c>
      <c r="Y45" s="184">
        <v>5</v>
      </c>
      <c r="Z45" s="184">
        <v>15</v>
      </c>
      <c r="AA45" s="184">
        <v>2</v>
      </c>
      <c r="AB45" s="184">
        <v>0.3</v>
      </c>
      <c r="AC45" s="184">
        <v>8</v>
      </c>
      <c r="AD45" s="193">
        <v>32</v>
      </c>
      <c r="AE45" s="402"/>
      <c r="AF45" s="177"/>
      <c r="AG45" s="178" t="s">
        <v>143</v>
      </c>
      <c r="AH45" s="178" t="s">
        <v>142</v>
      </c>
      <c r="AI45" s="184">
        <v>1</v>
      </c>
      <c r="AJ45" s="184">
        <v>1</v>
      </c>
      <c r="AK45" s="184">
        <v>0</v>
      </c>
      <c r="AL45" s="184">
        <v>2</v>
      </c>
      <c r="AM45" s="184">
        <v>0</v>
      </c>
      <c r="AN45" s="184">
        <v>1</v>
      </c>
      <c r="AO45" s="402"/>
      <c r="AP45" s="402"/>
      <c r="AQ45" s="177"/>
      <c r="AR45" s="178" t="s">
        <v>143</v>
      </c>
      <c r="AS45" s="178" t="s">
        <v>142</v>
      </c>
      <c r="AT45" s="184" t="s">
        <v>18</v>
      </c>
      <c r="AU45" s="184" t="s">
        <v>18</v>
      </c>
      <c r="AV45" s="184" t="s">
        <v>18</v>
      </c>
      <c r="AW45" s="184" t="s">
        <v>15</v>
      </c>
      <c r="AX45" s="184" t="s">
        <v>18</v>
      </c>
      <c r="AY45" s="184" t="s">
        <v>15</v>
      </c>
      <c r="AZ45" s="402"/>
      <c r="BA45" s="402"/>
      <c r="BB45" s="177"/>
      <c r="BC45" s="177"/>
      <c r="BD45" s="177"/>
      <c r="BE45" s="177"/>
      <c r="BF45" s="177"/>
      <c r="BG45" s="177"/>
      <c r="BH45" s="177"/>
      <c r="BI45" s="177"/>
      <c r="BJ45" s="177"/>
      <c r="BK45" s="177"/>
      <c r="BL45" s="177"/>
      <c r="BM45" s="178" t="s">
        <v>517</v>
      </c>
      <c r="BN45" s="178"/>
      <c r="BO45" s="178"/>
      <c r="BP45" s="178"/>
      <c r="BQ45" s="178"/>
      <c r="BR45" s="178"/>
      <c r="BS45" s="178"/>
      <c r="BT45" s="178"/>
      <c r="BU45" s="178"/>
      <c r="BV45" s="178"/>
      <c r="BW45" s="178"/>
      <c r="BX45" s="178"/>
      <c r="BY45" s="177"/>
      <c r="BZ45" s="317" t="s">
        <v>146</v>
      </c>
      <c r="CA45" s="317" t="s">
        <v>142</v>
      </c>
      <c r="CB45" s="201">
        <v>0</v>
      </c>
      <c r="CC45" s="201">
        <v>0</v>
      </c>
      <c r="CD45" s="201">
        <v>0</v>
      </c>
      <c r="CE45" s="216">
        <v>0</v>
      </c>
      <c r="CF45" s="216">
        <v>0</v>
      </c>
      <c r="CG45" s="216">
        <v>0</v>
      </c>
      <c r="CH45" s="177"/>
      <c r="CI45" s="177"/>
      <c r="CJ45" s="177"/>
      <c r="CK45" s="177"/>
      <c r="CL45" s="177"/>
      <c r="CM45" s="177"/>
      <c r="CN45" s="177"/>
      <c r="CO45" s="177"/>
      <c r="CP45" s="177"/>
      <c r="CQ45" s="177"/>
      <c r="CR45" s="177"/>
      <c r="CS45" s="177"/>
      <c r="CT45" s="177"/>
      <c r="CU45" s="177"/>
      <c r="CV45" s="178"/>
      <c r="CW45" s="178"/>
      <c r="CX45" s="178"/>
      <c r="CY45" s="178"/>
      <c r="CZ45" s="178"/>
      <c r="DA45" s="178"/>
      <c r="DB45" s="178"/>
      <c r="DC45" s="178"/>
      <c r="DD45" s="178"/>
      <c r="DE45" s="178"/>
      <c r="DF45" s="178"/>
      <c r="DG45" s="178"/>
      <c r="DH45" s="178"/>
      <c r="DI45" s="178"/>
      <c r="DJ45" s="178"/>
      <c r="DK45" s="178"/>
      <c r="DL45" s="178"/>
      <c r="DM45" s="178"/>
      <c r="DN45" s="178"/>
    </row>
    <row r="46" spans="1:118">
      <c r="A46" s="177"/>
      <c r="B46" s="178" t="s">
        <v>144</v>
      </c>
      <c r="C46" s="178" t="s">
        <v>142</v>
      </c>
      <c r="D46" s="184">
        <v>125000</v>
      </c>
      <c r="E46" s="184">
        <v>37000</v>
      </c>
      <c r="F46" s="184">
        <v>30000</v>
      </c>
      <c r="G46" s="184">
        <v>25000</v>
      </c>
      <c r="H46" s="184">
        <v>10000</v>
      </c>
      <c r="I46" s="184">
        <v>30000</v>
      </c>
      <c r="J46" s="177"/>
      <c r="K46" s="177"/>
      <c r="L46" s="178" t="s">
        <v>144</v>
      </c>
      <c r="M46" s="178" t="s">
        <v>142</v>
      </c>
      <c r="N46" s="386">
        <v>660</v>
      </c>
      <c r="O46" s="386">
        <v>440</v>
      </c>
      <c r="P46" s="386">
        <v>110</v>
      </c>
      <c r="Q46" s="386">
        <v>530</v>
      </c>
      <c r="R46" s="386">
        <v>395</v>
      </c>
      <c r="S46" s="386">
        <v>880</v>
      </c>
      <c r="T46" s="343">
        <f>25000/10</f>
        <v>2500</v>
      </c>
      <c r="U46" s="177"/>
      <c r="V46" s="178" t="s">
        <v>144</v>
      </c>
      <c r="W46" s="178" t="s">
        <v>142</v>
      </c>
      <c r="X46" s="184">
        <v>18</v>
      </c>
      <c r="Y46" s="184">
        <v>9</v>
      </c>
      <c r="Z46" s="184">
        <v>22</v>
      </c>
      <c r="AA46" s="184">
        <v>4</v>
      </c>
      <c r="AB46" s="184">
        <v>2</v>
      </c>
      <c r="AC46" s="184">
        <v>15</v>
      </c>
      <c r="AD46" s="193">
        <v>32</v>
      </c>
      <c r="AE46" s="402"/>
      <c r="AF46" s="177"/>
      <c r="AG46" s="178" t="s">
        <v>144</v>
      </c>
      <c r="AH46" s="178" t="s">
        <v>142</v>
      </c>
      <c r="AI46" s="184">
        <v>1</v>
      </c>
      <c r="AJ46" s="184">
        <v>1</v>
      </c>
      <c r="AK46" s="184">
        <v>0</v>
      </c>
      <c r="AL46" s="184">
        <v>2</v>
      </c>
      <c r="AM46" s="184">
        <v>0</v>
      </c>
      <c r="AN46" s="184">
        <v>1</v>
      </c>
      <c r="AO46" s="402"/>
      <c r="AP46" s="402"/>
      <c r="AQ46" s="177"/>
      <c r="AR46" s="178" t="s">
        <v>144</v>
      </c>
      <c r="AS46" s="178" t="s">
        <v>142</v>
      </c>
      <c r="AT46" s="184" t="s">
        <v>18</v>
      </c>
      <c r="AU46" s="184" t="s">
        <v>18</v>
      </c>
      <c r="AV46" s="184" t="s">
        <v>18</v>
      </c>
      <c r="AW46" s="184" t="s">
        <v>15</v>
      </c>
      <c r="AX46" s="184" t="s">
        <v>18</v>
      </c>
      <c r="AY46" s="184" t="s">
        <v>15</v>
      </c>
      <c r="AZ46" s="402"/>
      <c r="BA46" s="402"/>
      <c r="BB46" s="177"/>
      <c r="BC46" s="177"/>
      <c r="BD46" s="177"/>
      <c r="BE46" s="177"/>
      <c r="BF46" s="177"/>
      <c r="BG46" s="177"/>
      <c r="BH46" s="177"/>
      <c r="BI46" s="177"/>
      <c r="BJ46" s="177"/>
      <c r="BK46" s="177"/>
      <c r="BL46" s="177"/>
      <c r="BM46" s="178" t="s">
        <v>518</v>
      </c>
      <c r="BN46" s="178"/>
      <c r="BO46" s="178" t="s">
        <v>519</v>
      </c>
      <c r="BP46" s="178"/>
      <c r="BQ46" s="178"/>
      <c r="BR46" s="178"/>
      <c r="BS46" s="178"/>
      <c r="BT46" s="178"/>
      <c r="BU46" s="178"/>
      <c r="BV46" s="178"/>
      <c r="BW46" s="178"/>
      <c r="BX46" s="178"/>
      <c r="BY46" s="177"/>
      <c r="BZ46" s="317" t="s">
        <v>147</v>
      </c>
      <c r="CA46" s="317" t="s">
        <v>142</v>
      </c>
      <c r="CB46" s="201">
        <v>0</v>
      </c>
      <c r="CC46" s="201">
        <v>0</v>
      </c>
      <c r="CD46" s="201">
        <v>0</v>
      </c>
      <c r="CE46" s="216">
        <v>0</v>
      </c>
      <c r="CF46" s="216">
        <v>0</v>
      </c>
      <c r="CG46" s="216">
        <v>0</v>
      </c>
      <c r="CH46" s="177"/>
      <c r="CI46" s="177"/>
      <c r="CJ46" s="177"/>
      <c r="CK46" s="177"/>
      <c r="CL46" s="177"/>
      <c r="CM46" s="177"/>
      <c r="CN46" s="177"/>
      <c r="CO46" s="177"/>
      <c r="CP46" s="177"/>
      <c r="CQ46" s="177"/>
      <c r="CR46" s="177"/>
      <c r="CS46" s="177"/>
      <c r="CT46" s="177"/>
      <c r="CU46" s="177"/>
      <c r="CV46" s="178"/>
      <c r="CW46" s="178"/>
      <c r="CX46" s="178"/>
      <c r="CY46" s="178"/>
      <c r="CZ46" s="178"/>
      <c r="DA46" s="178"/>
      <c r="DB46" s="178"/>
      <c r="DC46" s="178"/>
      <c r="DD46" s="178"/>
      <c r="DE46" s="178"/>
      <c r="DF46" s="178"/>
      <c r="DG46" s="178"/>
      <c r="DH46" s="178"/>
      <c r="DI46" s="178"/>
      <c r="DJ46" s="178"/>
      <c r="DK46" s="178"/>
      <c r="DL46" s="178"/>
      <c r="DM46" s="178"/>
      <c r="DN46" s="178"/>
    </row>
    <row r="47" spans="1:118">
      <c r="A47" s="177"/>
      <c r="B47" s="178" t="s">
        <v>145</v>
      </c>
      <c r="C47" s="178" t="s">
        <v>142</v>
      </c>
      <c r="D47" s="184">
        <v>170000</v>
      </c>
      <c r="E47" s="184">
        <v>50000</v>
      </c>
      <c r="F47" s="184">
        <v>30000</v>
      </c>
      <c r="G47" s="184">
        <v>25000</v>
      </c>
      <c r="H47" s="184">
        <v>10000</v>
      </c>
      <c r="I47" s="184">
        <v>60000</v>
      </c>
      <c r="J47" s="177"/>
      <c r="K47" s="177"/>
      <c r="L47" s="178" t="s">
        <v>145</v>
      </c>
      <c r="M47" s="178" t="s">
        <v>142</v>
      </c>
      <c r="N47" s="386">
        <v>660</v>
      </c>
      <c r="O47" s="386">
        <v>440</v>
      </c>
      <c r="P47" s="386">
        <v>110</v>
      </c>
      <c r="Q47" s="386">
        <v>530</v>
      </c>
      <c r="R47" s="386">
        <v>395</v>
      </c>
      <c r="S47" s="386">
        <v>1100</v>
      </c>
      <c r="T47" s="343">
        <f>25000/10</f>
        <v>2500</v>
      </c>
      <c r="U47" s="177"/>
      <c r="V47" s="178" t="s">
        <v>145</v>
      </c>
      <c r="W47" s="178" t="s">
        <v>142</v>
      </c>
      <c r="X47" s="184">
        <v>19</v>
      </c>
      <c r="Y47" s="184">
        <v>9.4</v>
      </c>
      <c r="Z47" s="184">
        <v>25</v>
      </c>
      <c r="AA47" s="184">
        <v>4</v>
      </c>
      <c r="AB47" s="184">
        <v>2</v>
      </c>
      <c r="AC47" s="184">
        <v>15</v>
      </c>
      <c r="AD47" s="193">
        <v>32</v>
      </c>
      <c r="AE47" s="402"/>
      <c r="AF47" s="177"/>
      <c r="AG47" s="178" t="s">
        <v>145</v>
      </c>
      <c r="AH47" s="178" t="s">
        <v>142</v>
      </c>
      <c r="AI47" s="184">
        <v>1</v>
      </c>
      <c r="AJ47" s="184">
        <v>1</v>
      </c>
      <c r="AK47" s="184">
        <v>0</v>
      </c>
      <c r="AL47" s="184">
        <v>2</v>
      </c>
      <c r="AM47" s="184">
        <v>0</v>
      </c>
      <c r="AN47" s="184">
        <v>1</v>
      </c>
      <c r="AO47" s="402"/>
      <c r="AP47" s="402"/>
      <c r="AQ47" s="177"/>
      <c r="AR47" s="178" t="s">
        <v>145</v>
      </c>
      <c r="AS47" s="178" t="s">
        <v>142</v>
      </c>
      <c r="AT47" s="184" t="s">
        <v>18</v>
      </c>
      <c r="AU47" s="184" t="s">
        <v>18</v>
      </c>
      <c r="AV47" s="184" t="s">
        <v>18</v>
      </c>
      <c r="AW47" s="184" t="s">
        <v>15</v>
      </c>
      <c r="AX47" s="184" t="s">
        <v>18</v>
      </c>
      <c r="AY47" s="184" t="s">
        <v>15</v>
      </c>
      <c r="AZ47" s="402"/>
      <c r="BA47" s="402"/>
      <c r="BB47" s="177"/>
      <c r="BC47" s="177"/>
      <c r="BD47" s="177"/>
      <c r="BE47" s="177"/>
      <c r="BF47" s="177"/>
      <c r="BG47" s="177"/>
      <c r="BH47" s="177"/>
      <c r="BI47" s="177"/>
      <c r="BJ47" s="177"/>
      <c r="BK47" s="177"/>
      <c r="BL47" s="177"/>
      <c r="BM47" s="178"/>
      <c r="BN47" s="178"/>
      <c r="BO47" s="178"/>
      <c r="BP47" s="178"/>
      <c r="BQ47" s="178"/>
      <c r="BR47" s="178"/>
      <c r="BS47" s="178"/>
      <c r="BT47" s="178"/>
      <c r="BU47" s="178"/>
      <c r="BV47" s="178"/>
      <c r="BW47" s="178"/>
      <c r="BX47" s="178"/>
      <c r="BY47" s="177"/>
      <c r="BZ47" s="317" t="s">
        <v>148</v>
      </c>
      <c r="CA47" s="317" t="s">
        <v>142</v>
      </c>
      <c r="CB47" s="201">
        <v>0</v>
      </c>
      <c r="CC47" s="201">
        <v>0</v>
      </c>
      <c r="CD47" s="201">
        <v>0</v>
      </c>
      <c r="CE47" s="216">
        <v>0</v>
      </c>
      <c r="CF47" s="216">
        <v>0</v>
      </c>
      <c r="CG47" s="216">
        <v>0</v>
      </c>
      <c r="CH47" s="177"/>
      <c r="CI47" s="177"/>
      <c r="CJ47" s="177"/>
      <c r="CK47" s="177"/>
      <c r="CL47" s="177"/>
      <c r="CM47" s="177"/>
      <c r="CN47" s="177"/>
      <c r="CO47" s="177"/>
      <c r="CP47" s="177"/>
      <c r="CQ47" s="177"/>
      <c r="CR47" s="177"/>
      <c r="CS47" s="177"/>
      <c r="CT47" s="177"/>
      <c r="CU47" s="177"/>
      <c r="CV47" s="178"/>
      <c r="CW47" s="178"/>
      <c r="CX47" s="178"/>
      <c r="CY47" s="178"/>
      <c r="CZ47" s="178"/>
      <c r="DA47" s="178"/>
      <c r="DB47" s="178"/>
      <c r="DC47" s="178"/>
      <c r="DD47" s="178"/>
      <c r="DE47" s="178"/>
      <c r="DF47" s="178"/>
      <c r="DG47" s="178"/>
      <c r="DH47" s="178"/>
      <c r="DI47" s="178"/>
      <c r="DJ47" s="178"/>
      <c r="DK47" s="178"/>
      <c r="DL47" s="178"/>
      <c r="DM47" s="178"/>
      <c r="DN47" s="178"/>
    </row>
    <row r="48" spans="1:118">
      <c r="A48" s="177"/>
      <c r="B48" s="178" t="s">
        <v>146</v>
      </c>
      <c r="C48" s="178" t="s">
        <v>142</v>
      </c>
      <c r="D48" s="184">
        <v>45000</v>
      </c>
      <c r="E48" s="184">
        <v>19000</v>
      </c>
      <c r="F48" s="184">
        <v>5000</v>
      </c>
      <c r="G48" s="184">
        <v>0</v>
      </c>
      <c r="H48" s="184">
        <v>5000</v>
      </c>
      <c r="I48" s="184">
        <v>15000</v>
      </c>
      <c r="J48" s="177"/>
      <c r="K48" s="177"/>
      <c r="L48" s="178" t="s">
        <v>146</v>
      </c>
      <c r="M48" s="178" t="s">
        <v>142</v>
      </c>
      <c r="N48" s="481">
        <v>285</v>
      </c>
      <c r="O48" s="481">
        <v>240</v>
      </c>
      <c r="P48" s="386">
        <v>110</v>
      </c>
      <c r="Q48" s="481">
        <v>0</v>
      </c>
      <c r="R48" s="386">
        <v>220</v>
      </c>
      <c r="S48" s="386">
        <v>615</v>
      </c>
      <c r="T48" s="343">
        <f>15000/10</f>
        <v>1500</v>
      </c>
      <c r="U48" s="177"/>
      <c r="V48" s="178" t="s">
        <v>146</v>
      </c>
      <c r="W48" s="178" t="s">
        <v>142</v>
      </c>
      <c r="X48" s="184">
        <v>19</v>
      </c>
      <c r="Y48" s="184">
        <v>9.4</v>
      </c>
      <c r="Z48" s="184">
        <v>25</v>
      </c>
      <c r="AA48" s="184">
        <v>4</v>
      </c>
      <c r="AB48" s="184">
        <v>2</v>
      </c>
      <c r="AC48" s="184">
        <v>15</v>
      </c>
      <c r="AD48" s="193">
        <v>32</v>
      </c>
      <c r="AE48" s="402"/>
      <c r="AF48" s="177"/>
      <c r="AG48" s="178" t="s">
        <v>146</v>
      </c>
      <c r="AH48" s="178" t="s">
        <v>142</v>
      </c>
      <c r="AI48" s="184">
        <v>1</v>
      </c>
      <c r="AJ48" s="184">
        <v>1</v>
      </c>
      <c r="AK48" s="184">
        <v>0</v>
      </c>
      <c r="AL48" s="184">
        <v>2</v>
      </c>
      <c r="AM48" s="184">
        <v>0</v>
      </c>
      <c r="AN48" s="184">
        <v>1</v>
      </c>
      <c r="AO48" s="402"/>
      <c r="AP48" s="402"/>
      <c r="AQ48" s="177"/>
      <c r="AR48" s="178" t="s">
        <v>146</v>
      </c>
      <c r="AS48" s="178" t="s">
        <v>142</v>
      </c>
      <c r="AT48" s="184" t="s">
        <v>18</v>
      </c>
      <c r="AU48" s="184" t="s">
        <v>18</v>
      </c>
      <c r="AV48" s="184" t="s">
        <v>18</v>
      </c>
      <c r="AW48" s="184" t="s">
        <v>15</v>
      </c>
      <c r="AX48" s="184" t="s">
        <v>18</v>
      </c>
      <c r="AY48" s="184" t="s">
        <v>15</v>
      </c>
      <c r="AZ48" s="402"/>
      <c r="BA48" s="402"/>
      <c r="BB48" s="177"/>
      <c r="BC48" s="177"/>
      <c r="BD48" s="177"/>
      <c r="BE48" s="177"/>
      <c r="BF48" s="177"/>
      <c r="BG48" s="177"/>
      <c r="BH48" s="177"/>
      <c r="BI48" s="177"/>
      <c r="BJ48" s="177"/>
      <c r="BK48" s="177"/>
      <c r="BL48" s="177"/>
      <c r="BM48" s="178" t="s">
        <v>520</v>
      </c>
      <c r="BN48" s="178"/>
      <c r="BO48" s="178"/>
      <c r="BP48" s="178"/>
      <c r="BQ48" s="178"/>
      <c r="BR48" s="178"/>
      <c r="BS48" s="178"/>
      <c r="BT48" s="178"/>
      <c r="BU48" s="178"/>
      <c r="BV48" s="178"/>
      <c r="BW48" s="178"/>
      <c r="BX48" s="178"/>
      <c r="BY48" s="177"/>
      <c r="BZ48" s="317" t="s">
        <v>149</v>
      </c>
      <c r="CA48" s="317" t="s">
        <v>142</v>
      </c>
      <c r="CB48" s="201">
        <v>0</v>
      </c>
      <c r="CC48" s="201">
        <v>0</v>
      </c>
      <c r="CD48" s="201">
        <v>0</v>
      </c>
      <c r="CE48" s="216">
        <v>0</v>
      </c>
      <c r="CF48" s="216">
        <v>0</v>
      </c>
      <c r="CG48" s="216">
        <v>0</v>
      </c>
      <c r="CH48" s="177"/>
      <c r="CI48" s="177"/>
      <c r="CJ48" s="177"/>
      <c r="CK48" s="177"/>
      <c r="CL48" s="177"/>
      <c r="CM48" s="177"/>
      <c r="CN48" s="177"/>
      <c r="CO48" s="177"/>
      <c r="CP48" s="177"/>
      <c r="CQ48" s="177"/>
      <c r="CR48" s="177"/>
      <c r="CS48" s="177"/>
      <c r="CT48" s="177"/>
      <c r="CU48" s="177"/>
      <c r="CV48" s="178"/>
      <c r="CW48" s="178"/>
      <c r="CX48" s="178"/>
      <c r="CY48" s="178"/>
      <c r="CZ48" s="178"/>
      <c r="DA48" s="178"/>
      <c r="DB48" s="178"/>
      <c r="DC48" s="178"/>
      <c r="DD48" s="178"/>
      <c r="DE48" s="178"/>
      <c r="DF48" s="178"/>
      <c r="DG48" s="178"/>
      <c r="DH48" s="178"/>
      <c r="DI48" s="178"/>
      <c r="DJ48" s="178"/>
      <c r="DK48" s="178"/>
      <c r="DL48" s="178"/>
      <c r="DM48" s="178"/>
      <c r="DN48" s="178"/>
    </row>
    <row r="49" spans="1:138">
      <c r="A49" s="177"/>
      <c r="B49" s="178" t="s">
        <v>147</v>
      </c>
      <c r="C49" s="178" t="s">
        <v>142</v>
      </c>
      <c r="D49" s="184">
        <v>100000</v>
      </c>
      <c r="E49" s="184">
        <v>37000</v>
      </c>
      <c r="F49" s="184">
        <v>20000</v>
      </c>
      <c r="G49" s="184">
        <v>16500</v>
      </c>
      <c r="H49" s="184">
        <v>12420</v>
      </c>
      <c r="I49" s="184">
        <v>25000</v>
      </c>
      <c r="J49" s="177"/>
      <c r="K49" s="177"/>
      <c r="L49" s="178" t="s">
        <v>147</v>
      </c>
      <c r="M49" s="178" t="s">
        <v>142</v>
      </c>
      <c r="N49" s="386">
        <v>660</v>
      </c>
      <c r="O49" s="386">
        <v>440</v>
      </c>
      <c r="P49" s="386">
        <v>110</v>
      </c>
      <c r="Q49" s="386">
        <v>530</v>
      </c>
      <c r="R49" s="386">
        <v>350</v>
      </c>
      <c r="S49" s="386">
        <v>880</v>
      </c>
      <c r="T49" s="343">
        <f>20000/10</f>
        <v>2000</v>
      </c>
      <c r="U49" s="177"/>
      <c r="V49" s="178" t="s">
        <v>147</v>
      </c>
      <c r="W49" s="178" t="s">
        <v>142</v>
      </c>
      <c r="X49" s="184">
        <v>18</v>
      </c>
      <c r="Y49" s="184">
        <v>6.3</v>
      </c>
      <c r="Z49" s="184">
        <v>20</v>
      </c>
      <c r="AA49" s="184">
        <v>3</v>
      </c>
      <c r="AB49" s="184">
        <v>0.4</v>
      </c>
      <c r="AC49" s="184">
        <v>9</v>
      </c>
      <c r="AD49" s="193">
        <v>32</v>
      </c>
      <c r="AE49" s="402"/>
      <c r="AF49" s="177"/>
      <c r="AG49" s="178" t="s">
        <v>147</v>
      </c>
      <c r="AH49" s="178" t="s">
        <v>142</v>
      </c>
      <c r="AI49" s="184">
        <v>1</v>
      </c>
      <c r="AJ49" s="184">
        <v>1</v>
      </c>
      <c r="AK49" s="184">
        <v>0</v>
      </c>
      <c r="AL49" s="184">
        <v>2</v>
      </c>
      <c r="AM49" s="184">
        <v>0</v>
      </c>
      <c r="AN49" s="184">
        <v>1</v>
      </c>
      <c r="AO49" s="402"/>
      <c r="AP49" s="402"/>
      <c r="AQ49" s="177"/>
      <c r="AR49" s="178" t="s">
        <v>147</v>
      </c>
      <c r="AS49" s="178" t="s">
        <v>142</v>
      </c>
      <c r="AT49" s="184" t="s">
        <v>18</v>
      </c>
      <c r="AU49" s="184" t="s">
        <v>18</v>
      </c>
      <c r="AV49" s="184" t="s">
        <v>18</v>
      </c>
      <c r="AW49" s="184" t="s">
        <v>15</v>
      </c>
      <c r="AX49" s="184" t="s">
        <v>18</v>
      </c>
      <c r="AY49" s="184" t="s">
        <v>15</v>
      </c>
      <c r="AZ49" s="402"/>
      <c r="BA49" s="402"/>
      <c r="BB49" s="177"/>
      <c r="BC49" s="177"/>
      <c r="BD49" s="177"/>
      <c r="BE49" s="177"/>
      <c r="BF49" s="177"/>
      <c r="BG49" s="177"/>
      <c r="BH49" s="177"/>
      <c r="BI49" s="177"/>
      <c r="BJ49" s="177"/>
      <c r="BK49" s="177"/>
      <c r="BL49" s="177"/>
      <c r="BM49" s="178" t="s">
        <v>521</v>
      </c>
      <c r="BN49" s="178"/>
      <c r="BO49" s="178" t="s">
        <v>522</v>
      </c>
      <c r="BP49" s="178"/>
      <c r="BQ49" s="178"/>
      <c r="BR49" s="178"/>
      <c r="BS49" s="178"/>
      <c r="BT49" s="178"/>
      <c r="BU49" s="178"/>
      <c r="BV49" s="178"/>
      <c r="BW49" s="178"/>
      <c r="BX49" s="178"/>
      <c r="BY49" s="177"/>
      <c r="BZ49" s="317" t="s">
        <v>150</v>
      </c>
      <c r="CA49" s="317" t="s">
        <v>142</v>
      </c>
      <c r="CB49" s="201">
        <v>0</v>
      </c>
      <c r="CC49" s="201">
        <v>0</v>
      </c>
      <c r="CD49" s="201">
        <v>0</v>
      </c>
      <c r="CE49" s="216">
        <v>0</v>
      </c>
      <c r="CF49" s="216">
        <v>0</v>
      </c>
      <c r="CG49" s="216">
        <v>0</v>
      </c>
      <c r="CH49" s="177"/>
      <c r="CI49" s="177"/>
      <c r="CJ49" s="177"/>
      <c r="CK49" s="177"/>
      <c r="CL49" s="177"/>
      <c r="CM49" s="177"/>
      <c r="CN49" s="177"/>
      <c r="CO49" s="177"/>
      <c r="CP49" s="177"/>
      <c r="CQ49" s="177"/>
      <c r="CR49" s="177"/>
      <c r="CS49" s="177"/>
      <c r="CT49" s="177"/>
      <c r="CU49" s="177"/>
      <c r="CV49" s="178"/>
      <c r="CW49" s="178"/>
      <c r="CX49" s="178"/>
      <c r="CY49" s="178"/>
      <c r="CZ49" s="178"/>
      <c r="DA49" s="178"/>
      <c r="DB49" s="178"/>
      <c r="DC49" s="178"/>
      <c r="DD49" s="178"/>
      <c r="DE49" s="178"/>
      <c r="DF49" s="178"/>
      <c r="DG49" s="178"/>
      <c r="DH49" s="178"/>
      <c r="DI49" s="178"/>
      <c r="DJ49" s="178"/>
      <c r="DK49" s="178"/>
      <c r="DL49" s="178"/>
      <c r="DM49" s="178"/>
      <c r="DN49" s="178"/>
    </row>
    <row r="50" spans="1:138">
      <c r="A50" s="177"/>
      <c r="B50" s="178" t="s">
        <v>148</v>
      </c>
      <c r="C50" s="178" t="s">
        <v>142</v>
      </c>
      <c r="D50" s="184">
        <v>100000</v>
      </c>
      <c r="E50" s="184">
        <v>37000</v>
      </c>
      <c r="F50" s="401">
        <v>20000</v>
      </c>
      <c r="G50" s="184">
        <v>16500</v>
      </c>
      <c r="H50" s="184">
        <v>12420</v>
      </c>
      <c r="I50" s="184">
        <v>25000</v>
      </c>
      <c r="J50" s="177"/>
      <c r="K50" s="177"/>
      <c r="L50" s="178" t="s">
        <v>148</v>
      </c>
      <c r="M50" s="178" t="s">
        <v>142</v>
      </c>
      <c r="N50" s="386">
        <v>660</v>
      </c>
      <c r="O50" s="386">
        <v>440</v>
      </c>
      <c r="P50" s="386">
        <v>110</v>
      </c>
      <c r="Q50" s="386">
        <v>530</v>
      </c>
      <c r="R50" s="386">
        <v>350</v>
      </c>
      <c r="S50" s="386">
        <v>880</v>
      </c>
      <c r="T50" s="343">
        <f>20000/10</f>
        <v>2000</v>
      </c>
      <c r="U50" s="177"/>
      <c r="V50" s="178" t="s">
        <v>148</v>
      </c>
      <c r="W50" s="178" t="s">
        <v>142</v>
      </c>
      <c r="X50" s="184">
        <v>18</v>
      </c>
      <c r="Y50" s="184">
        <v>6.3</v>
      </c>
      <c r="Z50" s="184">
        <v>20</v>
      </c>
      <c r="AA50" s="184">
        <v>3</v>
      </c>
      <c r="AB50" s="184">
        <v>0.4</v>
      </c>
      <c r="AC50" s="184">
        <v>9</v>
      </c>
      <c r="AD50" s="193">
        <v>32</v>
      </c>
      <c r="AE50" s="402"/>
      <c r="AF50" s="177"/>
      <c r="AG50" s="178" t="s">
        <v>148</v>
      </c>
      <c r="AH50" s="178" t="s">
        <v>142</v>
      </c>
      <c r="AI50" s="184">
        <v>1</v>
      </c>
      <c r="AJ50" s="184">
        <v>1</v>
      </c>
      <c r="AK50" s="184">
        <v>0</v>
      </c>
      <c r="AL50" s="184">
        <v>2</v>
      </c>
      <c r="AM50" s="184">
        <v>0</v>
      </c>
      <c r="AN50" s="184">
        <v>1</v>
      </c>
      <c r="AO50" s="402"/>
      <c r="AP50" s="402"/>
      <c r="AQ50" s="177"/>
      <c r="AR50" s="178" t="s">
        <v>148</v>
      </c>
      <c r="AS50" s="178" t="s">
        <v>142</v>
      </c>
      <c r="AT50" s="184" t="s">
        <v>18</v>
      </c>
      <c r="AU50" s="184" t="s">
        <v>18</v>
      </c>
      <c r="AV50" s="184" t="s">
        <v>18</v>
      </c>
      <c r="AW50" s="184" t="s">
        <v>15</v>
      </c>
      <c r="AX50" s="184" t="s">
        <v>18</v>
      </c>
      <c r="AY50" s="184" t="s">
        <v>15</v>
      </c>
      <c r="AZ50" s="402"/>
      <c r="BA50" s="402"/>
      <c r="BB50" s="177"/>
      <c r="BC50" s="177"/>
      <c r="BD50" s="177"/>
      <c r="BE50" s="177"/>
      <c r="BF50" s="177"/>
      <c r="BG50" s="177"/>
      <c r="BH50" s="177"/>
      <c r="BI50" s="177"/>
      <c r="BJ50" s="177"/>
      <c r="BK50" s="177"/>
      <c r="BL50" s="177"/>
      <c r="BM50" s="178"/>
      <c r="BN50" s="178"/>
      <c r="BO50" s="178"/>
      <c r="BP50" s="178"/>
      <c r="BQ50" s="178"/>
      <c r="BR50" s="178"/>
      <c r="BS50" s="178"/>
      <c r="BT50" s="178"/>
      <c r="BU50" s="178"/>
      <c r="BV50" s="178"/>
      <c r="BW50" s="178"/>
      <c r="BX50" s="178"/>
      <c r="BY50" s="177"/>
      <c r="BZ50" s="317" t="s">
        <v>151</v>
      </c>
      <c r="CA50" s="317" t="s">
        <v>142</v>
      </c>
      <c r="CB50" s="201">
        <v>0</v>
      </c>
      <c r="CC50" s="201">
        <v>0</v>
      </c>
      <c r="CD50" s="201">
        <v>0</v>
      </c>
      <c r="CE50" s="216">
        <v>0</v>
      </c>
      <c r="CF50" s="216">
        <v>0</v>
      </c>
      <c r="CG50" s="216">
        <v>0</v>
      </c>
      <c r="CH50" s="177"/>
      <c r="CI50" s="177"/>
      <c r="CJ50" s="177"/>
      <c r="CK50" s="177"/>
      <c r="CL50" s="177"/>
      <c r="CM50" s="177"/>
      <c r="CN50" s="177"/>
      <c r="CO50" s="177"/>
      <c r="CP50" s="177"/>
      <c r="CQ50" s="177"/>
      <c r="CR50" s="177"/>
      <c r="CS50" s="177"/>
      <c r="CT50" s="177"/>
      <c r="CU50" s="177"/>
      <c r="CV50" s="178"/>
      <c r="CW50" s="178"/>
      <c r="CX50" s="178"/>
      <c r="CY50" s="178"/>
      <c r="CZ50" s="178"/>
      <c r="DA50" s="178"/>
      <c r="DB50" s="178"/>
      <c r="DC50" s="178"/>
      <c r="DD50" s="178"/>
      <c r="DE50" s="178"/>
      <c r="DF50" s="178"/>
      <c r="DG50" s="178"/>
      <c r="DH50" s="178"/>
      <c r="DI50" s="178"/>
      <c r="DJ50" s="178"/>
      <c r="DK50" s="178"/>
      <c r="DL50" s="178"/>
      <c r="DM50" s="178"/>
      <c r="DN50" s="178"/>
    </row>
    <row r="51" spans="1:138">
      <c r="A51" s="177"/>
      <c r="B51" s="178" t="s">
        <v>149</v>
      </c>
      <c r="C51" s="178" t="s">
        <v>142</v>
      </c>
      <c r="D51" s="184">
        <v>100000</v>
      </c>
      <c r="E51" s="184">
        <v>37000</v>
      </c>
      <c r="F51" s="401">
        <v>20000</v>
      </c>
      <c r="G51" s="184">
        <v>16500</v>
      </c>
      <c r="H51" s="184">
        <v>12420</v>
      </c>
      <c r="I51" s="184">
        <v>25000</v>
      </c>
      <c r="J51" s="177"/>
      <c r="K51" s="177"/>
      <c r="L51" s="178" t="s">
        <v>149</v>
      </c>
      <c r="M51" s="178" t="s">
        <v>142</v>
      </c>
      <c r="N51" s="386">
        <v>660</v>
      </c>
      <c r="O51" s="386">
        <v>440</v>
      </c>
      <c r="P51" s="386">
        <v>110</v>
      </c>
      <c r="Q51" s="386">
        <v>530</v>
      </c>
      <c r="R51" s="386">
        <v>350</v>
      </c>
      <c r="S51" s="386">
        <v>880</v>
      </c>
      <c r="T51" s="343">
        <f>20000/10</f>
        <v>2000</v>
      </c>
      <c r="U51" s="177"/>
      <c r="V51" s="178" t="s">
        <v>149</v>
      </c>
      <c r="W51" s="178" t="s">
        <v>142</v>
      </c>
      <c r="X51" s="184">
        <v>25</v>
      </c>
      <c r="Y51" s="184">
        <v>8.35</v>
      </c>
      <c r="Z51" s="184">
        <v>25</v>
      </c>
      <c r="AA51" s="184">
        <v>5</v>
      </c>
      <c r="AB51" s="184">
        <v>0.8</v>
      </c>
      <c r="AC51" s="184">
        <v>12</v>
      </c>
      <c r="AD51" s="193">
        <v>32</v>
      </c>
      <c r="AE51" s="402"/>
      <c r="AF51" s="177"/>
      <c r="AG51" s="178" t="s">
        <v>149</v>
      </c>
      <c r="AH51" s="178" t="s">
        <v>142</v>
      </c>
      <c r="AI51" s="184">
        <v>1</v>
      </c>
      <c r="AJ51" s="184">
        <v>1</v>
      </c>
      <c r="AK51" s="184">
        <v>2</v>
      </c>
      <c r="AL51" s="184">
        <v>2</v>
      </c>
      <c r="AM51" s="184">
        <v>0</v>
      </c>
      <c r="AN51" s="184">
        <v>1</v>
      </c>
      <c r="AO51" s="402"/>
      <c r="AP51" s="402"/>
      <c r="AQ51" s="177"/>
      <c r="AR51" s="178" t="s">
        <v>149</v>
      </c>
      <c r="AS51" s="178" t="s">
        <v>142</v>
      </c>
      <c r="AT51" s="184" t="s">
        <v>18</v>
      </c>
      <c r="AU51" s="184" t="s">
        <v>18</v>
      </c>
      <c r="AV51" s="184" t="s">
        <v>18</v>
      </c>
      <c r="AW51" s="184" t="s">
        <v>15</v>
      </c>
      <c r="AX51" s="184" t="s">
        <v>18</v>
      </c>
      <c r="AY51" s="184" t="s">
        <v>15</v>
      </c>
      <c r="AZ51" s="402"/>
      <c r="BA51" s="402"/>
      <c r="BB51" s="177"/>
      <c r="BC51" s="177"/>
      <c r="BD51" s="177"/>
      <c r="BE51" s="177"/>
      <c r="BF51" s="177"/>
      <c r="BG51" s="177"/>
      <c r="BH51" s="177"/>
      <c r="BI51" s="177"/>
      <c r="BJ51" s="177"/>
      <c r="BK51" s="177"/>
      <c r="BL51" s="177"/>
      <c r="BM51" s="178" t="s">
        <v>523</v>
      </c>
      <c r="BN51" s="178"/>
      <c r="BO51" s="178"/>
      <c r="BP51" s="178"/>
      <c r="BQ51" s="178"/>
      <c r="BR51" s="178"/>
      <c r="BS51" s="178"/>
      <c r="BT51" s="178"/>
      <c r="BU51" s="178"/>
      <c r="BV51" s="178"/>
      <c r="BW51" s="178"/>
      <c r="BX51" s="178"/>
      <c r="BY51" s="177"/>
      <c r="BZ51" s="317" t="s">
        <v>535</v>
      </c>
      <c r="CA51" s="317" t="s">
        <v>122</v>
      </c>
      <c r="CB51" s="201">
        <v>0</v>
      </c>
      <c r="CC51" s="201">
        <v>0</v>
      </c>
      <c r="CD51" s="201">
        <v>0</v>
      </c>
      <c r="CE51" s="216">
        <v>0</v>
      </c>
      <c r="CF51" s="216">
        <v>0</v>
      </c>
      <c r="CG51" s="216">
        <v>0</v>
      </c>
      <c r="CH51" s="177"/>
      <c r="CI51" s="177"/>
      <c r="CJ51" s="177"/>
      <c r="CK51" s="177"/>
      <c r="CL51" s="177"/>
      <c r="CM51" s="177"/>
      <c r="CN51" s="177"/>
      <c r="CO51" s="177"/>
      <c r="CP51" s="177"/>
      <c r="CQ51" s="177"/>
      <c r="CR51" s="177"/>
      <c r="CS51" s="177"/>
      <c r="CT51" s="177"/>
      <c r="CU51" s="177"/>
      <c r="CV51" s="178"/>
      <c r="CW51" s="178"/>
      <c r="CX51" s="178"/>
      <c r="CY51" s="178"/>
      <c r="CZ51" s="178"/>
      <c r="DA51" s="178"/>
      <c r="DB51" s="178"/>
      <c r="DC51" s="178"/>
      <c r="DD51" s="178"/>
      <c r="DE51" s="178"/>
      <c r="DF51" s="178"/>
      <c r="DG51" s="178"/>
      <c r="DH51" s="178"/>
      <c r="DI51" s="178"/>
      <c r="DJ51" s="178"/>
      <c r="DK51" s="178"/>
      <c r="DL51" s="178"/>
      <c r="DM51" s="178"/>
      <c r="DN51" s="178"/>
    </row>
    <row r="52" spans="1:138">
      <c r="A52" s="177"/>
      <c r="B52" s="178" t="s">
        <v>800</v>
      </c>
      <c r="C52" s="178" t="s">
        <v>142</v>
      </c>
      <c r="D52" s="565">
        <v>170000</v>
      </c>
      <c r="E52" s="565">
        <v>55000</v>
      </c>
      <c r="F52" s="565">
        <v>30000</v>
      </c>
      <c r="G52" s="565">
        <v>30000</v>
      </c>
      <c r="H52" s="565">
        <v>15000</v>
      </c>
      <c r="I52" s="565">
        <v>60000</v>
      </c>
      <c r="J52" s="177"/>
      <c r="K52" s="177"/>
      <c r="L52" s="178" t="s">
        <v>800</v>
      </c>
      <c r="M52" s="178" t="s">
        <v>142</v>
      </c>
      <c r="N52" s="386">
        <v>660</v>
      </c>
      <c r="O52" s="386">
        <v>440</v>
      </c>
      <c r="P52" s="386">
        <v>110</v>
      </c>
      <c r="Q52" s="386">
        <v>530</v>
      </c>
      <c r="R52" s="386">
        <v>395</v>
      </c>
      <c r="S52" s="386">
        <v>1100</v>
      </c>
      <c r="T52" s="343">
        <f>25000/10</f>
        <v>2500</v>
      </c>
      <c r="U52" s="177"/>
      <c r="V52" s="178" t="s">
        <v>800</v>
      </c>
      <c r="W52" s="178" t="s">
        <v>142</v>
      </c>
      <c r="X52" s="565">
        <v>23</v>
      </c>
      <c r="Y52" s="565">
        <v>11.5</v>
      </c>
      <c r="Z52" s="565">
        <v>25</v>
      </c>
      <c r="AA52" s="565">
        <v>4</v>
      </c>
      <c r="AB52" s="565">
        <v>2</v>
      </c>
      <c r="AC52" s="565">
        <v>15</v>
      </c>
      <c r="AD52" s="193">
        <v>32</v>
      </c>
      <c r="AE52" s="565"/>
      <c r="AF52" s="177"/>
      <c r="AG52" s="178" t="s">
        <v>800</v>
      </c>
      <c r="AH52" s="178" t="s">
        <v>142</v>
      </c>
      <c r="AI52" s="565">
        <v>1</v>
      </c>
      <c r="AJ52" s="565">
        <v>1</v>
      </c>
      <c r="AK52" s="565">
        <v>0</v>
      </c>
      <c r="AL52" s="565">
        <v>2</v>
      </c>
      <c r="AM52" s="565">
        <v>0</v>
      </c>
      <c r="AN52" s="565">
        <v>1</v>
      </c>
      <c r="AO52" s="565"/>
      <c r="AP52" s="565"/>
      <c r="AQ52" s="177"/>
      <c r="AR52" s="178" t="s">
        <v>800</v>
      </c>
      <c r="AS52" s="178" t="s">
        <v>142</v>
      </c>
      <c r="AT52" s="565" t="s">
        <v>18</v>
      </c>
      <c r="AU52" s="565" t="s">
        <v>18</v>
      </c>
      <c r="AV52" s="565" t="s">
        <v>18</v>
      </c>
      <c r="AW52" s="565" t="s">
        <v>15</v>
      </c>
      <c r="AX52" s="565" t="s">
        <v>18</v>
      </c>
      <c r="AY52" s="565" t="s">
        <v>15</v>
      </c>
      <c r="AZ52" s="565"/>
      <c r="BA52" s="565"/>
      <c r="BB52" s="177"/>
      <c r="BC52" s="177"/>
      <c r="BD52" s="177"/>
      <c r="BE52" s="177"/>
      <c r="BF52" s="177"/>
      <c r="BG52" s="177"/>
      <c r="BH52" s="177"/>
      <c r="BI52" s="177"/>
      <c r="BJ52" s="177"/>
      <c r="BK52" s="177"/>
      <c r="BL52" s="177"/>
      <c r="BM52" s="178"/>
      <c r="BN52" s="178"/>
      <c r="BO52" s="178"/>
      <c r="BP52" s="178"/>
      <c r="BQ52" s="178"/>
      <c r="BR52" s="178"/>
      <c r="BS52" s="178"/>
      <c r="BT52" s="178"/>
      <c r="BU52" s="178"/>
      <c r="BV52" s="178"/>
      <c r="BW52" s="178"/>
      <c r="BX52" s="178"/>
      <c r="BY52" s="177"/>
      <c r="BZ52" s="317" t="s">
        <v>152</v>
      </c>
      <c r="CA52" s="317" t="s">
        <v>142</v>
      </c>
      <c r="CB52" s="201">
        <v>0</v>
      </c>
      <c r="CC52" s="201">
        <v>0</v>
      </c>
      <c r="CD52" s="201">
        <v>0</v>
      </c>
      <c r="CE52" s="216">
        <v>0</v>
      </c>
      <c r="CF52" s="216">
        <v>0</v>
      </c>
      <c r="CG52" s="216">
        <v>0</v>
      </c>
      <c r="CH52" s="177"/>
      <c r="CI52" s="177"/>
      <c r="CJ52" s="177"/>
      <c r="CK52" s="177"/>
      <c r="CL52" s="177"/>
      <c r="CM52" s="177"/>
      <c r="CN52" s="177"/>
      <c r="CO52" s="177"/>
      <c r="CP52" s="177"/>
      <c r="CQ52" s="177"/>
      <c r="CR52" s="177"/>
      <c r="CS52" s="177"/>
      <c r="CT52" s="177"/>
      <c r="CU52" s="177"/>
      <c r="CV52" s="178"/>
      <c r="CW52" s="178"/>
      <c r="CX52" s="178"/>
      <c r="CY52" s="178"/>
      <c r="CZ52" s="178"/>
      <c r="DA52" s="178"/>
      <c r="DB52" s="178"/>
      <c r="DC52" s="178"/>
      <c r="DD52" s="178"/>
      <c r="DE52" s="178"/>
      <c r="DF52" s="178"/>
      <c r="DG52" s="178"/>
      <c r="DH52" s="178"/>
      <c r="DI52" s="178"/>
      <c r="DJ52" s="178"/>
      <c r="DK52" s="178"/>
      <c r="DL52" s="178"/>
      <c r="DM52" s="178"/>
      <c r="DN52" s="178"/>
    </row>
    <row r="53" spans="1:138">
      <c r="A53" s="177"/>
      <c r="B53" s="178" t="s">
        <v>150</v>
      </c>
      <c r="C53" s="178" t="s">
        <v>142</v>
      </c>
      <c r="D53" s="184">
        <v>75000</v>
      </c>
      <c r="E53" s="184">
        <v>15000</v>
      </c>
      <c r="F53" s="184">
        <v>5000</v>
      </c>
      <c r="G53" s="184">
        <v>15000</v>
      </c>
      <c r="H53" s="184">
        <v>4618</v>
      </c>
      <c r="I53" s="184">
        <v>17000</v>
      </c>
      <c r="J53" s="177"/>
      <c r="K53" s="177"/>
      <c r="L53" s="178" t="s">
        <v>150</v>
      </c>
      <c r="M53" s="178" t="s">
        <v>142</v>
      </c>
      <c r="N53" s="343">
        <v>485</v>
      </c>
      <c r="O53" s="343">
        <v>240</v>
      </c>
      <c r="P53" s="386">
        <v>110</v>
      </c>
      <c r="Q53" s="386">
        <v>440</v>
      </c>
      <c r="R53" s="386">
        <v>220</v>
      </c>
      <c r="S53" s="343">
        <v>705</v>
      </c>
      <c r="T53" s="343">
        <f>15000/10</f>
        <v>1500</v>
      </c>
      <c r="U53" s="177"/>
      <c r="V53" s="178" t="s">
        <v>150</v>
      </c>
      <c r="W53" s="178" t="s">
        <v>142</v>
      </c>
      <c r="X53" s="565">
        <v>25</v>
      </c>
      <c r="Y53" s="565">
        <v>8.35</v>
      </c>
      <c r="Z53" s="565">
        <v>25</v>
      </c>
      <c r="AA53" s="565">
        <v>5</v>
      </c>
      <c r="AB53" s="565">
        <v>0.8</v>
      </c>
      <c r="AC53" s="565">
        <v>12</v>
      </c>
      <c r="AD53" s="193">
        <v>32</v>
      </c>
      <c r="AE53" s="565"/>
      <c r="AF53" s="177"/>
      <c r="AG53" s="178" t="s">
        <v>150</v>
      </c>
      <c r="AH53" s="178" t="s">
        <v>142</v>
      </c>
      <c r="AI53" s="565">
        <v>1</v>
      </c>
      <c r="AJ53" s="565">
        <v>1</v>
      </c>
      <c r="AK53" s="565">
        <v>2</v>
      </c>
      <c r="AL53" s="565">
        <v>2</v>
      </c>
      <c r="AM53" s="565">
        <v>0</v>
      </c>
      <c r="AN53" s="565">
        <v>1</v>
      </c>
      <c r="AO53" s="565"/>
      <c r="AP53" s="565"/>
      <c r="AQ53" s="177"/>
      <c r="AR53" s="178" t="s">
        <v>150</v>
      </c>
      <c r="AS53" s="178" t="s">
        <v>142</v>
      </c>
      <c r="AT53" s="565" t="s">
        <v>18</v>
      </c>
      <c r="AU53" s="565" t="s">
        <v>18</v>
      </c>
      <c r="AV53" s="565" t="s">
        <v>18</v>
      </c>
      <c r="AW53" s="565" t="s">
        <v>15</v>
      </c>
      <c r="AX53" s="565" t="s">
        <v>18</v>
      </c>
      <c r="AY53" s="565" t="s">
        <v>15</v>
      </c>
      <c r="AZ53" s="565"/>
      <c r="BA53" s="565"/>
      <c r="BB53" s="177"/>
      <c r="BC53" s="177"/>
      <c r="BD53" s="177"/>
      <c r="BE53" s="177"/>
      <c r="BF53" s="177"/>
      <c r="BG53" s="177"/>
      <c r="BH53" s="177"/>
      <c r="BI53" s="177"/>
      <c r="BJ53" s="177"/>
      <c r="BK53" s="177"/>
      <c r="BL53" s="177"/>
      <c r="BM53" s="178"/>
      <c r="BN53" s="178"/>
      <c r="BO53" s="178"/>
      <c r="BP53" s="178"/>
      <c r="BQ53" s="178"/>
      <c r="BR53" s="178"/>
      <c r="BS53" s="178"/>
      <c r="BT53" s="178"/>
      <c r="BU53" s="178"/>
      <c r="BV53" s="178"/>
      <c r="BW53" s="178"/>
      <c r="BX53" s="178"/>
      <c r="BY53" s="177"/>
      <c r="BZ53" s="317" t="s">
        <v>153</v>
      </c>
      <c r="CA53" s="317" t="s">
        <v>142</v>
      </c>
      <c r="CB53" s="201">
        <v>0</v>
      </c>
      <c r="CC53" s="201">
        <v>0</v>
      </c>
      <c r="CD53" s="201">
        <v>0</v>
      </c>
      <c r="CE53" s="216">
        <v>0</v>
      </c>
      <c r="CF53" s="216">
        <v>0</v>
      </c>
      <c r="CG53" s="216">
        <v>0</v>
      </c>
      <c r="CH53" s="177"/>
      <c r="CI53" s="177"/>
      <c r="CJ53" s="177"/>
      <c r="CK53" s="177"/>
      <c r="CL53" s="177"/>
      <c r="CM53" s="177"/>
      <c r="CN53" s="177"/>
      <c r="CO53" s="177"/>
      <c r="CP53" s="177"/>
      <c r="CQ53" s="177"/>
      <c r="CR53" s="177"/>
      <c r="CS53" s="177"/>
      <c r="CT53" s="177"/>
      <c r="CU53" s="177"/>
      <c r="CV53" s="178"/>
      <c r="CW53" s="178"/>
      <c r="CX53" s="178"/>
      <c r="CY53" s="178"/>
      <c r="CZ53" s="178"/>
      <c r="DA53" s="178"/>
      <c r="DB53" s="178"/>
      <c r="DC53" s="178"/>
      <c r="DD53" s="178"/>
      <c r="DE53" s="178"/>
      <c r="DF53" s="178"/>
      <c r="DG53" s="178"/>
      <c r="DH53" s="178"/>
      <c r="DI53" s="178"/>
      <c r="DJ53" s="178"/>
      <c r="DK53" s="178"/>
      <c r="DL53" s="178"/>
      <c r="DM53" s="178"/>
      <c r="DN53" s="178"/>
    </row>
    <row r="54" spans="1:138">
      <c r="A54" s="177"/>
      <c r="B54" s="178" t="s">
        <v>151</v>
      </c>
      <c r="C54" s="178" t="s">
        <v>142</v>
      </c>
      <c r="D54" s="184">
        <v>75000</v>
      </c>
      <c r="E54" s="184">
        <v>15000</v>
      </c>
      <c r="F54" s="184">
        <v>5000</v>
      </c>
      <c r="G54" s="184">
        <v>15000</v>
      </c>
      <c r="H54" s="184">
        <v>4618</v>
      </c>
      <c r="I54" s="184">
        <v>17000</v>
      </c>
      <c r="J54" s="177"/>
      <c r="K54" s="177"/>
      <c r="L54" s="178" t="s">
        <v>151</v>
      </c>
      <c r="M54" s="178" t="s">
        <v>142</v>
      </c>
      <c r="N54" s="343">
        <v>485</v>
      </c>
      <c r="O54" s="343">
        <v>240</v>
      </c>
      <c r="P54" s="386">
        <v>110</v>
      </c>
      <c r="Q54" s="386">
        <v>440</v>
      </c>
      <c r="R54" s="386">
        <v>220</v>
      </c>
      <c r="S54" s="343">
        <v>705</v>
      </c>
      <c r="T54" s="343">
        <f>15000/10</f>
        <v>1500</v>
      </c>
      <c r="U54" s="177"/>
      <c r="V54" s="178" t="s">
        <v>151</v>
      </c>
      <c r="W54" s="178" t="s">
        <v>142</v>
      </c>
      <c r="X54" s="565">
        <v>25</v>
      </c>
      <c r="Y54" s="565">
        <v>8.35</v>
      </c>
      <c r="Z54" s="565">
        <v>25</v>
      </c>
      <c r="AA54" s="565">
        <v>5</v>
      </c>
      <c r="AB54" s="565">
        <v>0.8</v>
      </c>
      <c r="AC54" s="565">
        <v>12</v>
      </c>
      <c r="AD54" s="193">
        <v>32</v>
      </c>
      <c r="AE54" s="565"/>
      <c r="AF54" s="177"/>
      <c r="AG54" s="178" t="s">
        <v>151</v>
      </c>
      <c r="AH54" s="178" t="s">
        <v>142</v>
      </c>
      <c r="AI54" s="565">
        <v>1</v>
      </c>
      <c r="AJ54" s="565">
        <v>1</v>
      </c>
      <c r="AK54" s="565">
        <v>2</v>
      </c>
      <c r="AL54" s="565">
        <v>2</v>
      </c>
      <c r="AM54" s="565">
        <v>0</v>
      </c>
      <c r="AN54" s="565">
        <v>1</v>
      </c>
      <c r="AO54" s="565"/>
      <c r="AP54" s="565"/>
      <c r="AQ54" s="177"/>
      <c r="AR54" s="178" t="s">
        <v>151</v>
      </c>
      <c r="AS54" s="178" t="s">
        <v>142</v>
      </c>
      <c r="AT54" s="565" t="s">
        <v>18</v>
      </c>
      <c r="AU54" s="565" t="s">
        <v>18</v>
      </c>
      <c r="AV54" s="565" t="s">
        <v>18</v>
      </c>
      <c r="AW54" s="565" t="s">
        <v>15</v>
      </c>
      <c r="AX54" s="565" t="s">
        <v>18</v>
      </c>
      <c r="AY54" s="565" t="s">
        <v>15</v>
      </c>
      <c r="AZ54" s="565"/>
      <c r="BA54" s="565"/>
      <c r="BB54" s="177"/>
      <c r="BC54" s="177"/>
      <c r="BD54" s="177"/>
      <c r="BE54" s="177"/>
      <c r="BF54" s="177"/>
      <c r="BG54" s="177"/>
      <c r="BH54" s="177"/>
      <c r="BI54" s="177"/>
      <c r="BJ54" s="177"/>
      <c r="BK54" s="177"/>
      <c r="BL54" s="177"/>
      <c r="BM54" s="178"/>
      <c r="BN54" s="178"/>
      <c r="BO54" s="178"/>
      <c r="BP54" s="178"/>
      <c r="BQ54" s="178"/>
      <c r="BR54" s="178"/>
      <c r="BS54" s="178"/>
      <c r="BT54" s="178"/>
      <c r="BU54" s="178"/>
      <c r="BV54" s="178"/>
      <c r="BW54" s="178"/>
      <c r="BX54" s="178"/>
      <c r="BY54" s="177"/>
      <c r="BZ54" s="317" t="s">
        <v>154</v>
      </c>
      <c r="CA54" s="317" t="s">
        <v>142</v>
      </c>
      <c r="CB54" s="201">
        <v>0</v>
      </c>
      <c r="CC54" s="201">
        <v>0</v>
      </c>
      <c r="CD54" s="201">
        <v>0</v>
      </c>
      <c r="CE54" s="216">
        <v>0</v>
      </c>
      <c r="CF54" s="216">
        <v>0</v>
      </c>
      <c r="CG54" s="216">
        <v>0</v>
      </c>
      <c r="CH54" s="177"/>
      <c r="CI54" s="177"/>
      <c r="CJ54" s="177"/>
      <c r="CK54" s="177"/>
      <c r="CL54" s="177"/>
      <c r="CM54" s="177"/>
      <c r="CN54" s="177"/>
      <c r="CO54" s="177"/>
      <c r="CP54" s="177"/>
      <c r="CQ54" s="177"/>
      <c r="CR54" s="177"/>
      <c r="CS54" s="177"/>
      <c r="CT54" s="177"/>
      <c r="CU54" s="177"/>
      <c r="CV54" s="178"/>
      <c r="CW54" s="178"/>
      <c r="CX54" s="178"/>
      <c r="CY54" s="178"/>
      <c r="CZ54" s="178"/>
      <c r="DA54" s="178"/>
      <c r="DB54" s="178"/>
      <c r="DC54" s="178"/>
      <c r="DD54" s="178"/>
      <c r="DE54" s="178"/>
      <c r="DF54" s="178"/>
      <c r="DG54" s="178"/>
      <c r="DH54" s="178"/>
      <c r="DI54" s="178"/>
      <c r="DJ54" s="178"/>
      <c r="DK54" s="178"/>
      <c r="DL54" s="178"/>
      <c r="DM54" s="178"/>
      <c r="DN54" s="178"/>
    </row>
    <row r="55" spans="1:138">
      <c r="A55" s="177"/>
      <c r="B55" s="178" t="s">
        <v>535</v>
      </c>
      <c r="C55" s="178" t="s">
        <v>122</v>
      </c>
      <c r="D55" s="184">
        <v>170000</v>
      </c>
      <c r="E55" s="184">
        <v>55000</v>
      </c>
      <c r="F55" s="184">
        <v>35000</v>
      </c>
      <c r="G55" s="184">
        <v>24000</v>
      </c>
      <c r="H55" s="184">
        <v>15000</v>
      </c>
      <c r="I55" s="184">
        <v>75000</v>
      </c>
      <c r="J55" s="177"/>
      <c r="K55" s="177"/>
      <c r="L55" s="178" t="s">
        <v>535</v>
      </c>
      <c r="M55" s="178" t="s">
        <v>122</v>
      </c>
      <c r="N55" s="386">
        <v>795</v>
      </c>
      <c r="O55" s="386">
        <v>550</v>
      </c>
      <c r="P55" s="386">
        <v>110</v>
      </c>
      <c r="Q55" s="386">
        <v>530</v>
      </c>
      <c r="R55" s="386">
        <v>440</v>
      </c>
      <c r="S55" s="386">
        <v>1100</v>
      </c>
      <c r="T55" s="343">
        <f>30000/10</f>
        <v>3000</v>
      </c>
      <c r="U55" s="177"/>
      <c r="V55" s="178" t="s">
        <v>535</v>
      </c>
      <c r="W55" s="178" t="s">
        <v>122</v>
      </c>
      <c r="X55" s="565">
        <v>29.8</v>
      </c>
      <c r="Y55" s="565">
        <v>8.35</v>
      </c>
      <c r="Z55" s="565">
        <v>30</v>
      </c>
      <c r="AA55" s="565">
        <v>5</v>
      </c>
      <c r="AB55" s="565">
        <v>1</v>
      </c>
      <c r="AC55" s="565">
        <v>20</v>
      </c>
      <c r="AD55" s="193">
        <v>32</v>
      </c>
      <c r="AE55" s="565"/>
      <c r="AF55" s="177"/>
      <c r="AG55" s="178" t="s">
        <v>535</v>
      </c>
      <c r="AH55" s="178" t="s">
        <v>122</v>
      </c>
      <c r="AI55" s="565">
        <v>2</v>
      </c>
      <c r="AJ55" s="565">
        <v>1</v>
      </c>
      <c r="AK55" s="565">
        <v>0</v>
      </c>
      <c r="AL55" s="565">
        <v>2</v>
      </c>
      <c r="AM55" s="565">
        <v>0</v>
      </c>
      <c r="AN55" s="565">
        <v>1</v>
      </c>
      <c r="AO55" s="565"/>
      <c r="AP55" s="565"/>
      <c r="AQ55" s="177"/>
      <c r="AR55" s="178" t="s">
        <v>535</v>
      </c>
      <c r="AS55" s="178" t="s">
        <v>122</v>
      </c>
      <c r="AT55" s="565" t="s">
        <v>18</v>
      </c>
      <c r="AU55" s="565" t="s">
        <v>18</v>
      </c>
      <c r="AV55" s="565" t="s">
        <v>18</v>
      </c>
      <c r="AW55" s="565" t="s">
        <v>15</v>
      </c>
      <c r="AX55" s="565" t="s">
        <v>18</v>
      </c>
      <c r="AY55" s="565" t="s">
        <v>15</v>
      </c>
      <c r="AZ55" s="565"/>
      <c r="BA55" s="565"/>
      <c r="BB55" s="177"/>
      <c r="BC55" s="177"/>
      <c r="BD55" s="177"/>
      <c r="BE55" s="177"/>
      <c r="BF55" s="177"/>
      <c r="BG55" s="177"/>
      <c r="BH55" s="177"/>
      <c r="BI55" s="177"/>
      <c r="BJ55" s="177"/>
      <c r="BK55" s="177"/>
      <c r="BL55" s="177"/>
      <c r="BM55" s="178"/>
      <c r="BN55" s="178"/>
      <c r="BO55" s="178"/>
      <c r="BP55" s="178"/>
      <c r="BQ55" s="178"/>
      <c r="BR55" s="178"/>
      <c r="BS55" s="178"/>
      <c r="BT55" s="178"/>
      <c r="BU55" s="178"/>
      <c r="BV55" s="178"/>
      <c r="BW55" s="178"/>
      <c r="BX55" s="178"/>
      <c r="BY55" s="177"/>
      <c r="BZ55" s="317" t="s">
        <v>535</v>
      </c>
      <c r="CA55" s="317" t="s">
        <v>122</v>
      </c>
      <c r="CB55" s="201">
        <v>0</v>
      </c>
      <c r="CC55" s="201">
        <v>0</v>
      </c>
      <c r="CD55" s="201">
        <v>0</v>
      </c>
      <c r="CE55" s="216">
        <v>0</v>
      </c>
      <c r="CF55" s="216">
        <v>0</v>
      </c>
      <c r="CG55" s="216">
        <v>0</v>
      </c>
      <c r="CH55" s="177"/>
      <c r="CI55" s="177"/>
      <c r="CJ55" s="177"/>
      <c r="CK55" s="177"/>
      <c r="CL55" s="177"/>
      <c r="CM55" s="177"/>
      <c r="CN55" s="177"/>
      <c r="CO55" s="177"/>
      <c r="CP55" s="177"/>
      <c r="CQ55" s="177"/>
      <c r="CR55" s="177"/>
      <c r="CS55" s="177"/>
      <c r="CT55" s="177"/>
      <c r="CU55" s="177"/>
      <c r="CV55" s="178"/>
      <c r="CW55" s="178"/>
      <c r="CX55" s="178"/>
      <c r="CY55" s="178"/>
      <c r="CZ55" s="178"/>
      <c r="DA55" s="178"/>
      <c r="DB55" s="178"/>
      <c r="DC55" s="178"/>
      <c r="DD55" s="178"/>
      <c r="DE55" s="178"/>
      <c r="DF55" s="178"/>
      <c r="DG55" s="178"/>
      <c r="DH55" s="178"/>
      <c r="DI55" s="178"/>
      <c r="DJ55" s="178"/>
      <c r="DK55" s="178"/>
      <c r="DL55" s="178"/>
      <c r="DM55" s="178"/>
      <c r="DN55" s="178"/>
    </row>
    <row r="56" spans="1:138">
      <c r="A56" s="177"/>
      <c r="B56" s="178" t="s">
        <v>152</v>
      </c>
      <c r="C56" s="178" t="s">
        <v>142</v>
      </c>
      <c r="D56" s="184">
        <v>170000</v>
      </c>
      <c r="E56" s="184">
        <v>50000</v>
      </c>
      <c r="F56" s="184">
        <v>30000</v>
      </c>
      <c r="G56" s="184">
        <v>30000</v>
      </c>
      <c r="H56" s="184">
        <v>15000</v>
      </c>
      <c r="I56" s="184">
        <v>60000</v>
      </c>
      <c r="J56" s="177"/>
      <c r="K56" s="177"/>
      <c r="L56" s="178" t="s">
        <v>152</v>
      </c>
      <c r="M56" s="178" t="s">
        <v>142</v>
      </c>
      <c r="N56" s="386">
        <v>660</v>
      </c>
      <c r="O56" s="386">
        <v>440</v>
      </c>
      <c r="P56" s="386">
        <v>110</v>
      </c>
      <c r="Q56" s="386">
        <v>530</v>
      </c>
      <c r="R56" s="386">
        <v>395</v>
      </c>
      <c r="S56" s="386">
        <v>1100</v>
      </c>
      <c r="T56" s="343">
        <f>25000/10</f>
        <v>2500</v>
      </c>
      <c r="U56" s="177"/>
      <c r="V56" s="178" t="s">
        <v>152</v>
      </c>
      <c r="W56" s="178" t="s">
        <v>142</v>
      </c>
      <c r="X56" s="565">
        <v>23</v>
      </c>
      <c r="Y56" s="565">
        <v>11.5</v>
      </c>
      <c r="Z56" s="565">
        <v>25</v>
      </c>
      <c r="AA56" s="565">
        <v>5</v>
      </c>
      <c r="AB56" s="565">
        <v>2</v>
      </c>
      <c r="AC56" s="565">
        <v>15</v>
      </c>
      <c r="AD56" s="193">
        <v>32</v>
      </c>
      <c r="AE56" s="565"/>
      <c r="AF56" s="177"/>
      <c r="AG56" s="178" t="s">
        <v>152</v>
      </c>
      <c r="AH56" s="178" t="s">
        <v>142</v>
      </c>
      <c r="AI56" s="565">
        <v>2</v>
      </c>
      <c r="AJ56" s="565">
        <v>1</v>
      </c>
      <c r="AK56" s="565">
        <v>0</v>
      </c>
      <c r="AL56" s="565">
        <v>2</v>
      </c>
      <c r="AM56" s="565">
        <v>0</v>
      </c>
      <c r="AN56" s="565">
        <v>1</v>
      </c>
      <c r="AO56" s="565"/>
      <c r="AP56" s="565"/>
      <c r="AQ56" s="177"/>
      <c r="AR56" s="178" t="s">
        <v>152</v>
      </c>
      <c r="AS56" s="178" t="s">
        <v>142</v>
      </c>
      <c r="AT56" s="565" t="s">
        <v>18</v>
      </c>
      <c r="AU56" s="565" t="s">
        <v>18</v>
      </c>
      <c r="AV56" s="565" t="s">
        <v>18</v>
      </c>
      <c r="AW56" s="565" t="s">
        <v>15</v>
      </c>
      <c r="AX56" s="565" t="s">
        <v>18</v>
      </c>
      <c r="AY56" s="565" t="s">
        <v>15</v>
      </c>
      <c r="AZ56" s="565"/>
      <c r="BA56" s="565"/>
      <c r="BB56" s="177"/>
      <c r="BC56" s="177"/>
      <c r="BD56" s="177"/>
      <c r="BE56" s="177"/>
      <c r="BF56" s="177"/>
      <c r="BG56" s="177"/>
      <c r="BH56" s="177"/>
      <c r="BI56" s="177"/>
      <c r="BJ56" s="177"/>
      <c r="BK56" s="177"/>
      <c r="BL56" s="177"/>
      <c r="BM56" s="178"/>
      <c r="BN56" s="178"/>
      <c r="BO56" s="178"/>
      <c r="BP56" s="178"/>
      <c r="BQ56" s="178"/>
      <c r="BR56" s="178"/>
      <c r="BS56" s="178"/>
      <c r="BT56" s="178"/>
      <c r="BU56" s="178"/>
      <c r="BV56" s="178"/>
      <c r="BW56" s="178"/>
      <c r="BX56" s="178"/>
      <c r="BY56" s="177"/>
      <c r="BZ56" s="317" t="s">
        <v>536</v>
      </c>
      <c r="CA56" s="317" t="s">
        <v>122</v>
      </c>
      <c r="CB56" s="201">
        <v>0</v>
      </c>
      <c r="CC56" s="201">
        <v>0</v>
      </c>
      <c r="CD56" s="201">
        <v>0</v>
      </c>
      <c r="CE56" s="216">
        <v>0</v>
      </c>
      <c r="CF56" s="216">
        <v>0</v>
      </c>
      <c r="CG56" s="216">
        <v>0</v>
      </c>
      <c r="CH56" s="177"/>
      <c r="CI56" s="177"/>
      <c r="CJ56" s="177"/>
      <c r="CK56" s="177"/>
      <c r="CL56" s="177"/>
      <c r="CM56" s="177"/>
      <c r="CN56" s="177"/>
      <c r="CO56" s="177"/>
      <c r="CP56" s="177"/>
      <c r="CQ56" s="177"/>
      <c r="CR56" s="177"/>
      <c r="CS56" s="177"/>
      <c r="CT56" s="177"/>
      <c r="CU56" s="177"/>
      <c r="CV56" s="178"/>
      <c r="CW56" s="178"/>
      <c r="CX56" s="178"/>
      <c r="CY56" s="178"/>
      <c r="CZ56" s="178"/>
      <c r="DA56" s="178"/>
      <c r="DB56" s="178"/>
      <c r="DC56" s="178"/>
      <c r="DD56" s="178"/>
      <c r="DE56" s="178"/>
      <c r="DF56" s="178"/>
      <c r="DG56" s="178"/>
      <c r="DH56" s="178"/>
      <c r="DI56" s="178"/>
      <c r="DJ56" s="178"/>
      <c r="DK56" s="178"/>
      <c r="DL56" s="178"/>
      <c r="DM56" s="178"/>
      <c r="DN56" s="178"/>
    </row>
    <row r="57" spans="1:138">
      <c r="A57" s="177"/>
      <c r="B57" s="178" t="s">
        <v>153</v>
      </c>
      <c r="C57" s="178" t="s">
        <v>142</v>
      </c>
      <c r="D57" s="184">
        <v>170000</v>
      </c>
      <c r="E57" s="184">
        <v>50000</v>
      </c>
      <c r="F57" s="184">
        <v>30000</v>
      </c>
      <c r="G57" s="184">
        <v>30000</v>
      </c>
      <c r="H57" s="184">
        <v>15000</v>
      </c>
      <c r="I57" s="184">
        <v>60000</v>
      </c>
      <c r="J57" s="177"/>
      <c r="K57" s="177"/>
      <c r="L57" s="178" t="s">
        <v>153</v>
      </c>
      <c r="M57" s="178" t="s">
        <v>142</v>
      </c>
      <c r="N57" s="386">
        <v>660</v>
      </c>
      <c r="O57" s="386">
        <v>440</v>
      </c>
      <c r="P57" s="386">
        <v>110</v>
      </c>
      <c r="Q57" s="386">
        <v>530</v>
      </c>
      <c r="R57" s="386">
        <v>395</v>
      </c>
      <c r="S57" s="386">
        <v>1100</v>
      </c>
      <c r="T57" s="343">
        <f>25000/10</f>
        <v>2500</v>
      </c>
      <c r="U57" s="177"/>
      <c r="V57" s="178" t="s">
        <v>153</v>
      </c>
      <c r="W57" s="178" t="s">
        <v>142</v>
      </c>
      <c r="X57" s="565">
        <v>23</v>
      </c>
      <c r="Y57" s="565">
        <v>11.5</v>
      </c>
      <c r="Z57" s="565">
        <v>25</v>
      </c>
      <c r="AA57" s="565">
        <v>5</v>
      </c>
      <c r="AB57" s="565">
        <v>2</v>
      </c>
      <c r="AC57" s="565">
        <v>15</v>
      </c>
      <c r="AD57" s="193">
        <v>32</v>
      </c>
      <c r="AE57" s="565"/>
      <c r="AF57" s="177"/>
      <c r="AG57" s="178" t="s">
        <v>153</v>
      </c>
      <c r="AH57" s="178" t="s">
        <v>142</v>
      </c>
      <c r="AI57" s="565">
        <v>2</v>
      </c>
      <c r="AJ57" s="565">
        <v>1</v>
      </c>
      <c r="AK57" s="565">
        <v>0</v>
      </c>
      <c r="AL57" s="565">
        <v>2</v>
      </c>
      <c r="AM57" s="565">
        <v>0</v>
      </c>
      <c r="AN57" s="565">
        <v>1</v>
      </c>
      <c r="AO57" s="565"/>
      <c r="AP57" s="565"/>
      <c r="AQ57" s="177"/>
      <c r="AR57" s="178" t="s">
        <v>153</v>
      </c>
      <c r="AS57" s="178" t="s">
        <v>142</v>
      </c>
      <c r="AT57" s="565" t="s">
        <v>18</v>
      </c>
      <c r="AU57" s="565" t="s">
        <v>18</v>
      </c>
      <c r="AV57" s="565" t="s">
        <v>18</v>
      </c>
      <c r="AW57" s="565" t="s">
        <v>15</v>
      </c>
      <c r="AX57" s="565" t="s">
        <v>18</v>
      </c>
      <c r="AY57" s="565" t="s">
        <v>15</v>
      </c>
      <c r="AZ57" s="565"/>
      <c r="BA57" s="565"/>
      <c r="BB57" s="177"/>
      <c r="BC57" s="177"/>
      <c r="BD57" s="177"/>
      <c r="BE57" s="177"/>
      <c r="BF57" s="177"/>
      <c r="BG57" s="177"/>
      <c r="BH57" s="177"/>
      <c r="BI57" s="177"/>
      <c r="BJ57" s="177"/>
      <c r="BK57" s="177"/>
      <c r="BL57" s="177"/>
      <c r="BM57" s="178"/>
      <c r="BN57" s="178"/>
      <c r="BO57" s="178"/>
      <c r="BP57" s="178"/>
      <c r="BQ57" s="178"/>
      <c r="BR57" s="178"/>
      <c r="BS57" s="178"/>
      <c r="BT57" s="178"/>
      <c r="BU57" s="178"/>
      <c r="BV57" s="178"/>
      <c r="BW57" s="178"/>
      <c r="BX57" s="178"/>
      <c r="BY57" s="177"/>
      <c r="BZ57" s="317" t="s">
        <v>655</v>
      </c>
      <c r="CA57" s="317" t="s">
        <v>654</v>
      </c>
      <c r="CB57" s="201">
        <v>0</v>
      </c>
      <c r="CC57" s="201">
        <v>0</v>
      </c>
      <c r="CD57" s="201">
        <v>0</v>
      </c>
      <c r="CE57" s="216">
        <v>0</v>
      </c>
      <c r="CF57" s="216">
        <v>0</v>
      </c>
      <c r="CG57" s="216">
        <v>0</v>
      </c>
      <c r="CH57" s="177"/>
      <c r="CI57" s="177"/>
      <c r="CJ57" s="177"/>
      <c r="CK57" s="177"/>
      <c r="CL57" s="177"/>
      <c r="CM57" s="177"/>
      <c r="CN57" s="177"/>
      <c r="CO57" s="177"/>
      <c r="CP57" s="177"/>
      <c r="CQ57" s="177"/>
      <c r="CR57" s="177"/>
      <c r="CS57" s="177"/>
      <c r="CT57" s="177"/>
      <c r="CU57" s="177"/>
      <c r="CV57" s="178"/>
      <c r="CW57" s="178"/>
      <c r="CX57" s="178"/>
      <c r="CY57" s="178"/>
      <c r="CZ57" s="178"/>
      <c r="DA57" s="178"/>
      <c r="DB57" s="178"/>
      <c r="DC57" s="178"/>
      <c r="DD57" s="178"/>
      <c r="DE57" s="178"/>
      <c r="DF57" s="178"/>
      <c r="DG57" s="178"/>
      <c r="DH57" s="178"/>
      <c r="DI57" s="178"/>
      <c r="DJ57" s="178"/>
      <c r="DK57" s="178"/>
      <c r="DL57" s="178"/>
      <c r="DM57" s="178"/>
      <c r="DN57" s="178"/>
    </row>
    <row r="58" spans="1:138">
      <c r="A58" s="177"/>
      <c r="B58" s="178" t="s">
        <v>154</v>
      </c>
      <c r="C58" s="178" t="s">
        <v>142</v>
      </c>
      <c r="D58" s="184">
        <v>170000</v>
      </c>
      <c r="E58" s="184">
        <v>50000</v>
      </c>
      <c r="F58" s="184">
        <v>30000</v>
      </c>
      <c r="G58" s="184">
        <v>30000</v>
      </c>
      <c r="H58" s="184">
        <v>15000</v>
      </c>
      <c r="I58" s="184">
        <v>60000</v>
      </c>
      <c r="J58" s="177"/>
      <c r="K58" s="177"/>
      <c r="L58" s="178" t="s">
        <v>154</v>
      </c>
      <c r="M58" s="178" t="s">
        <v>142</v>
      </c>
      <c r="N58" s="386">
        <v>660</v>
      </c>
      <c r="O58" s="386">
        <v>440</v>
      </c>
      <c r="P58" s="386">
        <v>110</v>
      </c>
      <c r="Q58" s="386">
        <v>530</v>
      </c>
      <c r="R58" s="386">
        <v>395</v>
      </c>
      <c r="S58" s="386">
        <v>1100</v>
      </c>
      <c r="T58" s="343">
        <f>25000/10</f>
        <v>2500</v>
      </c>
      <c r="U58" s="177"/>
      <c r="V58" s="178" t="s">
        <v>154</v>
      </c>
      <c r="W58" s="178" t="s">
        <v>142</v>
      </c>
      <c r="X58" s="565">
        <v>23</v>
      </c>
      <c r="Y58" s="565">
        <v>11.5</v>
      </c>
      <c r="Z58" s="565">
        <v>25</v>
      </c>
      <c r="AA58" s="565">
        <v>5</v>
      </c>
      <c r="AB58" s="565">
        <v>2</v>
      </c>
      <c r="AC58" s="565">
        <v>15</v>
      </c>
      <c r="AD58" s="193">
        <v>32</v>
      </c>
      <c r="AE58" s="565"/>
      <c r="AF58" s="177"/>
      <c r="AG58" s="178" t="s">
        <v>154</v>
      </c>
      <c r="AH58" s="178" t="s">
        <v>142</v>
      </c>
      <c r="AI58" s="565">
        <v>2</v>
      </c>
      <c r="AJ58" s="565">
        <v>1</v>
      </c>
      <c r="AK58" s="565">
        <v>0</v>
      </c>
      <c r="AL58" s="565">
        <v>2</v>
      </c>
      <c r="AM58" s="565">
        <v>0</v>
      </c>
      <c r="AN58" s="565">
        <v>1</v>
      </c>
      <c r="AO58" s="565"/>
      <c r="AP58" s="565"/>
      <c r="AQ58" s="177"/>
      <c r="AR58" s="178" t="s">
        <v>154</v>
      </c>
      <c r="AS58" s="178" t="s">
        <v>142</v>
      </c>
      <c r="AT58" s="565" t="s">
        <v>18</v>
      </c>
      <c r="AU58" s="565" t="s">
        <v>18</v>
      </c>
      <c r="AV58" s="565" t="s">
        <v>18</v>
      </c>
      <c r="AW58" s="565" t="s">
        <v>15</v>
      </c>
      <c r="AX58" s="565" t="s">
        <v>18</v>
      </c>
      <c r="AY58" s="565" t="s">
        <v>15</v>
      </c>
      <c r="AZ58" s="565"/>
      <c r="BA58" s="565"/>
      <c r="BB58" s="177"/>
      <c r="BC58" s="177"/>
      <c r="BD58" s="177"/>
      <c r="BE58" s="177"/>
      <c r="BF58" s="177"/>
      <c r="BG58" s="177"/>
      <c r="BH58" s="177"/>
      <c r="BI58" s="177"/>
      <c r="BJ58" s="177"/>
      <c r="BK58" s="177"/>
      <c r="BL58" s="177"/>
      <c r="BM58" s="178"/>
      <c r="BN58" s="178"/>
      <c r="BO58" s="178"/>
      <c r="BP58" s="178"/>
      <c r="BQ58" s="178"/>
      <c r="BR58" s="178"/>
      <c r="BS58" s="178"/>
      <c r="BT58" s="178"/>
      <c r="BU58" s="178"/>
      <c r="BV58" s="178"/>
      <c r="BW58" s="178"/>
      <c r="BX58" s="178"/>
      <c r="BY58" s="177"/>
      <c r="BZ58" s="317" t="s">
        <v>656</v>
      </c>
      <c r="CA58" s="317" t="s">
        <v>654</v>
      </c>
      <c r="CB58" s="201">
        <v>0</v>
      </c>
      <c r="CC58" s="201">
        <v>0</v>
      </c>
      <c r="CD58" s="201">
        <v>0</v>
      </c>
      <c r="CE58" s="216">
        <v>0</v>
      </c>
      <c r="CF58" s="216">
        <v>0</v>
      </c>
      <c r="CG58" s="216">
        <v>0</v>
      </c>
      <c r="CH58" s="177"/>
      <c r="CI58" s="177"/>
      <c r="CJ58" s="177"/>
      <c r="CK58" s="177"/>
      <c r="CL58" s="177"/>
      <c r="CM58" s="177"/>
      <c r="CN58" s="177"/>
      <c r="CO58" s="177"/>
      <c r="CP58" s="177"/>
      <c r="CQ58" s="177"/>
      <c r="CR58" s="177"/>
      <c r="CS58" s="177"/>
      <c r="CT58" s="177"/>
      <c r="CU58" s="177"/>
      <c r="CV58" s="178"/>
      <c r="CW58" s="178"/>
      <c r="CX58" s="178"/>
      <c r="CY58" s="178"/>
      <c r="CZ58" s="178"/>
      <c r="DA58" s="178"/>
      <c r="DB58" s="178"/>
      <c r="DC58" s="178"/>
      <c r="DD58" s="178"/>
      <c r="DE58" s="178"/>
      <c r="DF58" s="178"/>
      <c r="DG58" s="178"/>
      <c r="DH58" s="178"/>
      <c r="DI58" s="178"/>
      <c r="DJ58" s="178"/>
      <c r="DK58" s="178"/>
      <c r="DL58" s="178"/>
      <c r="DM58" s="178"/>
      <c r="DN58" s="178"/>
    </row>
    <row r="59" spans="1:138">
      <c r="A59" s="177"/>
      <c r="B59" s="178" t="s">
        <v>535</v>
      </c>
      <c r="C59" s="178" t="s">
        <v>122</v>
      </c>
      <c r="D59" s="184">
        <v>170000</v>
      </c>
      <c r="E59" s="184">
        <v>55000</v>
      </c>
      <c r="F59" s="184">
        <v>35000</v>
      </c>
      <c r="G59" s="184">
        <v>24000</v>
      </c>
      <c r="H59" s="184">
        <v>15000</v>
      </c>
      <c r="I59" s="184">
        <v>75000</v>
      </c>
      <c r="J59" s="177"/>
      <c r="K59" s="177"/>
      <c r="L59" s="178" t="s">
        <v>535</v>
      </c>
      <c r="M59" s="178" t="s">
        <v>122</v>
      </c>
      <c r="N59" s="386">
        <v>795</v>
      </c>
      <c r="O59" s="386">
        <v>550</v>
      </c>
      <c r="P59" s="386">
        <v>110</v>
      </c>
      <c r="Q59" s="386">
        <v>530</v>
      </c>
      <c r="R59" s="386">
        <v>440</v>
      </c>
      <c r="S59" s="386">
        <v>1100</v>
      </c>
      <c r="T59" s="343">
        <f>30000/10</f>
        <v>3000</v>
      </c>
      <c r="U59" s="177"/>
      <c r="V59" s="178" t="s">
        <v>535</v>
      </c>
      <c r="W59" s="178" t="s">
        <v>122</v>
      </c>
      <c r="X59" s="565">
        <v>29.8</v>
      </c>
      <c r="Y59" s="565">
        <v>8.35</v>
      </c>
      <c r="Z59" s="565">
        <v>30</v>
      </c>
      <c r="AA59" s="565">
        <v>5</v>
      </c>
      <c r="AB59" s="565">
        <v>1</v>
      </c>
      <c r="AC59" s="565">
        <v>20</v>
      </c>
      <c r="AD59" s="193">
        <v>32</v>
      </c>
      <c r="AE59" s="565"/>
      <c r="AF59" s="177"/>
      <c r="AG59" s="178" t="s">
        <v>535</v>
      </c>
      <c r="AH59" s="178" t="s">
        <v>122</v>
      </c>
      <c r="AI59" s="565">
        <v>2</v>
      </c>
      <c r="AJ59" s="565">
        <v>1</v>
      </c>
      <c r="AK59" s="565">
        <v>0</v>
      </c>
      <c r="AL59" s="565">
        <v>2</v>
      </c>
      <c r="AM59" s="565">
        <v>0</v>
      </c>
      <c r="AN59" s="565">
        <v>1</v>
      </c>
      <c r="AO59" s="565"/>
      <c r="AP59" s="565"/>
      <c r="AQ59" s="177"/>
      <c r="AR59" s="178" t="s">
        <v>535</v>
      </c>
      <c r="AS59" s="178" t="s">
        <v>122</v>
      </c>
      <c r="AT59" s="565" t="s">
        <v>18</v>
      </c>
      <c r="AU59" s="565" t="s">
        <v>18</v>
      </c>
      <c r="AV59" s="565" t="s">
        <v>18</v>
      </c>
      <c r="AW59" s="565" t="s">
        <v>15</v>
      </c>
      <c r="AX59" s="565" t="s">
        <v>18</v>
      </c>
      <c r="AY59" s="565" t="s">
        <v>15</v>
      </c>
      <c r="AZ59" s="565"/>
      <c r="BA59" s="565"/>
      <c r="BB59" s="177"/>
      <c r="BC59" s="177"/>
      <c r="BD59" s="177"/>
      <c r="BE59" s="177"/>
      <c r="BF59" s="177"/>
      <c r="BG59" s="177"/>
      <c r="BH59" s="177"/>
      <c r="BI59" s="177"/>
      <c r="BJ59" s="177"/>
      <c r="BK59" s="177"/>
      <c r="BL59" s="177"/>
      <c r="BM59" s="177"/>
      <c r="BN59" s="177"/>
      <c r="BO59" s="177"/>
      <c r="BP59" s="177"/>
      <c r="BQ59" s="177"/>
      <c r="BR59" s="177"/>
      <c r="BS59" s="177"/>
      <c r="BT59" s="177"/>
      <c r="BU59" s="177"/>
      <c r="BV59" s="177"/>
      <c r="BW59" s="177"/>
      <c r="BX59" s="177"/>
      <c r="BY59" s="177"/>
      <c r="BZ59" s="317" t="s">
        <v>657</v>
      </c>
      <c r="CA59" s="317" t="s">
        <v>654</v>
      </c>
      <c r="CB59" s="201">
        <v>0</v>
      </c>
      <c r="CC59" s="201">
        <v>0</v>
      </c>
      <c r="CD59" s="201">
        <v>0</v>
      </c>
      <c r="CE59" s="216">
        <v>0</v>
      </c>
      <c r="CF59" s="216">
        <v>0</v>
      </c>
      <c r="CG59" s="216">
        <v>0</v>
      </c>
      <c r="CH59" s="177"/>
      <c r="CI59" s="177"/>
      <c r="CJ59" s="177"/>
      <c r="CK59" s="177"/>
      <c r="CL59" s="177"/>
      <c r="CM59" s="177"/>
      <c r="CN59" s="177"/>
      <c r="CO59" s="177"/>
      <c r="CP59" s="177"/>
      <c r="CQ59" s="177"/>
      <c r="CR59" s="177"/>
      <c r="CS59" s="177"/>
      <c r="CT59" s="177"/>
      <c r="CU59" s="177"/>
      <c r="CV59" s="177"/>
      <c r="CW59" s="177"/>
      <c r="CX59" s="177"/>
      <c r="CY59" s="177"/>
      <c r="CZ59" s="177"/>
      <c r="DA59" s="177"/>
      <c r="DB59" s="177"/>
      <c r="DC59" s="177"/>
      <c r="DD59" s="177"/>
      <c r="DE59" s="177"/>
      <c r="DF59" s="177"/>
      <c r="DG59" s="177"/>
      <c r="DH59" s="177"/>
      <c r="DI59" s="177"/>
      <c r="DJ59" s="177"/>
      <c r="DK59" s="177"/>
      <c r="DL59" s="177"/>
      <c r="DM59" s="177"/>
      <c r="DN59" s="177"/>
      <c r="DO59" s="1"/>
      <c r="DP59" s="1"/>
      <c r="DQ59" s="1"/>
      <c r="DR59" s="1"/>
      <c r="DS59" s="1"/>
      <c r="DT59" s="1"/>
      <c r="DU59" s="1"/>
      <c r="DV59" s="1"/>
      <c r="DW59" s="1"/>
      <c r="DX59" s="1"/>
      <c r="DY59" s="1"/>
      <c r="DZ59" s="1"/>
      <c r="EA59" s="1"/>
      <c r="EB59" s="1"/>
      <c r="EC59" s="1"/>
      <c r="ED59" s="1"/>
      <c r="EE59" s="1"/>
      <c r="EF59" s="1"/>
      <c r="EG59" s="1"/>
      <c r="EH59" s="1"/>
    </row>
    <row r="60" spans="1:138">
      <c r="A60" s="177"/>
      <c r="B60" s="178" t="s">
        <v>536</v>
      </c>
      <c r="C60" s="178" t="s">
        <v>122</v>
      </c>
      <c r="D60" s="184">
        <v>170000</v>
      </c>
      <c r="E60" s="184">
        <v>55000</v>
      </c>
      <c r="F60" s="184">
        <v>40000</v>
      </c>
      <c r="G60" s="184">
        <v>28000</v>
      </c>
      <c r="H60" s="184">
        <v>15000</v>
      </c>
      <c r="I60" s="184">
        <v>75000</v>
      </c>
      <c r="J60" s="177"/>
      <c r="K60" s="177"/>
      <c r="L60" s="178" t="s">
        <v>536</v>
      </c>
      <c r="M60" s="178" t="s">
        <v>122</v>
      </c>
      <c r="N60" s="386">
        <v>795</v>
      </c>
      <c r="O60" s="386">
        <v>550</v>
      </c>
      <c r="P60" s="386">
        <v>110</v>
      </c>
      <c r="Q60" s="386">
        <v>530</v>
      </c>
      <c r="R60" s="386">
        <v>440</v>
      </c>
      <c r="S60" s="386">
        <v>1100</v>
      </c>
      <c r="T60" s="343">
        <f>30000/10</f>
        <v>3000</v>
      </c>
      <c r="U60" s="177"/>
      <c r="V60" s="178" t="s">
        <v>536</v>
      </c>
      <c r="W60" s="178" t="s">
        <v>122</v>
      </c>
      <c r="X60" s="565">
        <v>29.8</v>
      </c>
      <c r="Y60" s="565">
        <v>8.35</v>
      </c>
      <c r="Z60" s="565">
        <v>30</v>
      </c>
      <c r="AA60" s="565">
        <v>5</v>
      </c>
      <c r="AB60" s="565">
        <v>1</v>
      </c>
      <c r="AC60" s="565">
        <v>20</v>
      </c>
      <c r="AD60" s="193">
        <v>32</v>
      </c>
      <c r="AE60" s="565"/>
      <c r="AF60" s="177"/>
      <c r="AG60" s="178" t="s">
        <v>536</v>
      </c>
      <c r="AH60" s="178" t="s">
        <v>122</v>
      </c>
      <c r="AI60" s="565">
        <v>2</v>
      </c>
      <c r="AJ60" s="565">
        <v>1</v>
      </c>
      <c r="AK60" s="565">
        <v>0</v>
      </c>
      <c r="AL60" s="565">
        <v>2</v>
      </c>
      <c r="AM60" s="565">
        <v>0</v>
      </c>
      <c r="AN60" s="565">
        <v>1</v>
      </c>
      <c r="AO60" s="565"/>
      <c r="AP60" s="565"/>
      <c r="AQ60" s="177"/>
      <c r="AR60" s="178" t="s">
        <v>536</v>
      </c>
      <c r="AS60" s="178" t="s">
        <v>122</v>
      </c>
      <c r="AT60" s="565" t="s">
        <v>18</v>
      </c>
      <c r="AU60" s="565" t="s">
        <v>18</v>
      </c>
      <c r="AV60" s="565" t="s">
        <v>18</v>
      </c>
      <c r="AW60" s="565" t="s">
        <v>15</v>
      </c>
      <c r="AX60" s="565" t="s">
        <v>18</v>
      </c>
      <c r="AY60" s="565" t="s">
        <v>15</v>
      </c>
      <c r="AZ60" s="565"/>
      <c r="BA60" s="565"/>
      <c r="BB60" s="177"/>
      <c r="BC60" s="177"/>
      <c r="BD60" s="177"/>
      <c r="BE60" s="177"/>
      <c r="BF60" s="177"/>
      <c r="BG60" s="177"/>
      <c r="BH60" s="177"/>
      <c r="BI60" s="177"/>
      <c r="BJ60" s="177"/>
      <c r="BK60" s="177"/>
      <c r="BL60" s="177"/>
      <c r="BM60" s="177"/>
      <c r="BN60" s="177"/>
      <c r="BO60" s="177"/>
      <c r="BP60" s="177"/>
      <c r="BQ60" s="177"/>
      <c r="BR60" s="177"/>
      <c r="BS60" s="177"/>
      <c r="BT60" s="177"/>
      <c r="BU60" s="177"/>
      <c r="BV60" s="177"/>
      <c r="BW60" s="177"/>
      <c r="BX60" s="177"/>
      <c r="BY60" s="177"/>
      <c r="BZ60" s="317" t="s">
        <v>658</v>
      </c>
      <c r="CA60" s="317" t="s">
        <v>654</v>
      </c>
      <c r="CB60" s="201">
        <v>0</v>
      </c>
      <c r="CC60" s="201">
        <v>0</v>
      </c>
      <c r="CD60" s="201">
        <v>0</v>
      </c>
      <c r="CE60" s="216">
        <v>0</v>
      </c>
      <c r="CF60" s="216">
        <v>0</v>
      </c>
      <c r="CG60" s="216">
        <v>0</v>
      </c>
      <c r="CH60" s="177"/>
      <c r="CI60" s="177"/>
      <c r="CJ60" s="177"/>
      <c r="CK60" s="177"/>
      <c r="CL60" s="177"/>
      <c r="CM60" s="177"/>
      <c r="CN60" s="177"/>
      <c r="CO60" s="177"/>
      <c r="CP60" s="177"/>
      <c r="CQ60" s="177"/>
      <c r="CR60" s="177"/>
      <c r="CS60" s="177"/>
      <c r="CT60" s="177"/>
      <c r="CU60" s="177"/>
      <c r="CV60" s="177"/>
      <c r="CW60" s="177"/>
      <c r="CX60" s="177"/>
      <c r="CY60" s="177"/>
      <c r="CZ60" s="177"/>
      <c r="DA60" s="177"/>
      <c r="DB60" s="177"/>
      <c r="DC60" s="177"/>
      <c r="DD60" s="177"/>
      <c r="DE60" s="177"/>
      <c r="DF60" s="177"/>
      <c r="DG60" s="177"/>
      <c r="DH60" s="177"/>
      <c r="DI60" s="177"/>
      <c r="DJ60" s="177"/>
      <c r="DK60" s="177"/>
      <c r="DL60" s="177"/>
      <c r="DM60" s="177"/>
      <c r="DN60" s="177"/>
      <c r="DO60" s="1"/>
      <c r="DP60" s="1"/>
      <c r="DQ60" s="1"/>
      <c r="DR60" s="1"/>
      <c r="DS60" s="1"/>
      <c r="DT60" s="1"/>
      <c r="DU60" s="1"/>
      <c r="DV60" s="1"/>
      <c r="DW60" s="1"/>
      <c r="DX60" s="1"/>
      <c r="DY60" s="1"/>
      <c r="DZ60" s="1"/>
      <c r="EA60" s="1"/>
      <c r="EB60" s="1"/>
      <c r="EC60" s="1"/>
      <c r="ED60" s="1"/>
      <c r="EE60" s="1"/>
      <c r="EF60" s="1"/>
      <c r="EG60" s="1"/>
      <c r="EH60" s="1"/>
    </row>
    <row r="61" spans="1:138">
      <c r="A61" s="177"/>
      <c r="B61" s="306" t="s">
        <v>655</v>
      </c>
      <c r="C61" s="307" t="s">
        <v>654</v>
      </c>
      <c r="D61" s="312">
        <v>0</v>
      </c>
      <c r="E61" s="312">
        <v>500000</v>
      </c>
      <c r="F61" s="312">
        <v>26000</v>
      </c>
      <c r="G61" s="312">
        <v>250000</v>
      </c>
      <c r="H61" s="312">
        <v>20000</v>
      </c>
      <c r="I61" s="313">
        <v>250000</v>
      </c>
      <c r="J61" s="177"/>
      <c r="K61" s="177"/>
      <c r="L61" s="307" t="s">
        <v>655</v>
      </c>
      <c r="M61" s="307" t="s">
        <v>654</v>
      </c>
      <c r="N61" s="570">
        <v>0</v>
      </c>
      <c r="O61" s="570">
        <v>350</v>
      </c>
      <c r="P61" s="570">
        <v>80</v>
      </c>
      <c r="Q61" s="570">
        <v>350</v>
      </c>
      <c r="R61" s="570">
        <v>500</v>
      </c>
      <c r="S61" s="570">
        <v>350</v>
      </c>
      <c r="T61" s="343">
        <v>1000</v>
      </c>
      <c r="U61" s="177"/>
      <c r="V61" s="307" t="s">
        <v>655</v>
      </c>
      <c r="W61" s="307" t="s">
        <v>654</v>
      </c>
      <c r="X61" s="591">
        <v>0</v>
      </c>
      <c r="Y61" s="592">
        <v>15</v>
      </c>
      <c r="Z61" s="591">
        <v>6</v>
      </c>
      <c r="AA61" s="591">
        <v>16</v>
      </c>
      <c r="AB61" s="591">
        <v>16</v>
      </c>
      <c r="AC61" s="591">
        <v>16</v>
      </c>
      <c r="AD61" s="580">
        <v>16</v>
      </c>
      <c r="AE61" s="593">
        <v>2.5</v>
      </c>
      <c r="AF61" s="177"/>
      <c r="AG61" s="307" t="s">
        <v>655</v>
      </c>
      <c r="AH61" s="307" t="s">
        <v>654</v>
      </c>
      <c r="AI61" s="312">
        <v>0</v>
      </c>
      <c r="AJ61" s="312">
        <v>3</v>
      </c>
      <c r="AK61" s="312">
        <v>2</v>
      </c>
      <c r="AL61" s="312">
        <v>3</v>
      </c>
      <c r="AM61" s="312">
        <v>4</v>
      </c>
      <c r="AN61" s="312">
        <v>3</v>
      </c>
      <c r="AO61" s="312"/>
      <c r="AP61" s="312"/>
      <c r="AQ61" s="177"/>
      <c r="AR61" s="307" t="s">
        <v>655</v>
      </c>
      <c r="AS61" s="307" t="s">
        <v>654</v>
      </c>
      <c r="AT61" s="312" t="s">
        <v>674</v>
      </c>
      <c r="AU61" s="565" t="s">
        <v>15</v>
      </c>
      <c r="AV61" s="312" t="s">
        <v>674</v>
      </c>
      <c r="AW61" s="565" t="s">
        <v>15</v>
      </c>
      <c r="AX61" s="565" t="s">
        <v>15</v>
      </c>
      <c r="AY61" s="565" t="s">
        <v>15</v>
      </c>
      <c r="AZ61" s="565"/>
      <c r="BA61" s="565"/>
      <c r="BB61" s="177"/>
      <c r="BC61" s="177"/>
      <c r="BD61" s="177"/>
      <c r="BE61" s="177"/>
      <c r="BF61" s="177"/>
      <c r="BG61" s="177"/>
      <c r="BH61" s="177"/>
      <c r="BI61" s="177"/>
      <c r="BJ61" s="177"/>
      <c r="BK61" s="177"/>
      <c r="BL61" s="177"/>
      <c r="BM61" s="177"/>
      <c r="BN61" s="177"/>
      <c r="BO61" s="177"/>
      <c r="BP61" s="177"/>
      <c r="BQ61" s="177"/>
      <c r="BR61" s="177"/>
      <c r="BS61" s="177"/>
      <c r="BT61" s="177"/>
      <c r="BU61" s="177"/>
      <c r="BV61" s="177"/>
      <c r="BW61" s="177"/>
      <c r="BX61" s="177"/>
      <c r="BY61" s="177"/>
      <c r="BZ61" s="317" t="s">
        <v>659</v>
      </c>
      <c r="CA61" s="317" t="s">
        <v>654</v>
      </c>
      <c r="CB61" s="201">
        <v>0</v>
      </c>
      <c r="CC61" s="201">
        <v>0</v>
      </c>
      <c r="CD61" s="201">
        <v>0</v>
      </c>
      <c r="CE61" s="216">
        <v>0</v>
      </c>
      <c r="CF61" s="216">
        <v>0</v>
      </c>
      <c r="CG61" s="216">
        <v>0</v>
      </c>
      <c r="CH61" s="177"/>
      <c r="CI61" s="177"/>
      <c r="CJ61" s="177"/>
      <c r="CK61" s="177"/>
      <c r="CL61" s="177"/>
      <c r="CM61" s="177"/>
      <c r="CN61" s="177"/>
      <c r="CO61" s="177"/>
      <c r="CP61" s="177"/>
      <c r="CQ61" s="177"/>
      <c r="CR61" s="177"/>
      <c r="CS61" s="177"/>
      <c r="CT61" s="177"/>
      <c r="CU61" s="177"/>
      <c r="CV61" s="177"/>
      <c r="CW61" s="177"/>
      <c r="CX61" s="177"/>
      <c r="CY61" s="177"/>
      <c r="CZ61" s="177"/>
      <c r="DA61" s="177"/>
      <c r="DB61" s="177"/>
      <c r="DC61" s="177"/>
      <c r="DD61" s="177"/>
      <c r="DE61" s="177"/>
      <c r="DF61" s="177"/>
      <c r="DG61" s="177"/>
      <c r="DH61" s="177"/>
      <c r="DI61" s="177"/>
      <c r="DJ61" s="177"/>
      <c r="DK61" s="177"/>
      <c r="DL61" s="177"/>
      <c r="DM61" s="177"/>
      <c r="DN61" s="177"/>
      <c r="DO61" s="1"/>
      <c r="DP61" s="1"/>
      <c r="DQ61" s="1"/>
      <c r="DR61" s="1"/>
      <c r="DS61" s="1"/>
      <c r="DT61" s="1"/>
      <c r="DU61" s="1"/>
      <c r="DV61" s="1"/>
      <c r="DW61" s="1"/>
      <c r="DX61" s="1"/>
      <c r="DY61" s="1"/>
      <c r="DZ61" s="1"/>
      <c r="EA61" s="1"/>
      <c r="EB61" s="1"/>
      <c r="EC61" s="1"/>
      <c r="ED61" s="1"/>
      <c r="EE61" s="1"/>
      <c r="EF61" s="1"/>
      <c r="EG61" s="1"/>
      <c r="EH61" s="1"/>
    </row>
    <row r="62" spans="1:138">
      <c r="A62" s="177"/>
      <c r="B62" s="306" t="s">
        <v>656</v>
      </c>
      <c r="C62" s="307" t="s">
        <v>654</v>
      </c>
      <c r="D62" s="312">
        <v>0</v>
      </c>
      <c r="E62" s="312">
        <v>500000</v>
      </c>
      <c r="F62" s="312">
        <v>26000</v>
      </c>
      <c r="G62" s="312">
        <v>250000</v>
      </c>
      <c r="H62" s="312">
        <v>20000</v>
      </c>
      <c r="I62" s="313">
        <v>250000</v>
      </c>
      <c r="J62" s="177"/>
      <c r="K62" s="177"/>
      <c r="L62" s="307" t="s">
        <v>656</v>
      </c>
      <c r="M62" s="307" t="s">
        <v>654</v>
      </c>
      <c r="N62" s="570">
        <v>0</v>
      </c>
      <c r="O62" s="570">
        <v>350</v>
      </c>
      <c r="P62" s="570">
        <v>80</v>
      </c>
      <c r="Q62" s="570">
        <v>350</v>
      </c>
      <c r="R62" s="570">
        <v>500</v>
      </c>
      <c r="S62" s="570">
        <v>350</v>
      </c>
      <c r="T62" s="343">
        <v>1000</v>
      </c>
      <c r="U62" s="177"/>
      <c r="V62" s="307" t="s">
        <v>656</v>
      </c>
      <c r="W62" s="307" t="s">
        <v>654</v>
      </c>
      <c r="X62" s="591">
        <v>0</v>
      </c>
      <c r="Y62" s="592">
        <v>16</v>
      </c>
      <c r="Z62" s="591">
        <v>6</v>
      </c>
      <c r="AA62" s="591">
        <v>17.5</v>
      </c>
      <c r="AB62" s="591">
        <v>17.5</v>
      </c>
      <c r="AC62" s="591">
        <v>17.5</v>
      </c>
      <c r="AD62" s="580">
        <v>17.5</v>
      </c>
      <c r="AE62" s="593">
        <v>2.7</v>
      </c>
      <c r="AF62" s="177"/>
      <c r="AG62" s="307" t="s">
        <v>656</v>
      </c>
      <c r="AH62" s="307" t="s">
        <v>654</v>
      </c>
      <c r="AI62" s="312">
        <v>0</v>
      </c>
      <c r="AJ62" s="312">
        <v>3</v>
      </c>
      <c r="AK62" s="312">
        <v>2</v>
      </c>
      <c r="AL62" s="312">
        <v>3</v>
      </c>
      <c r="AM62" s="312">
        <v>4</v>
      </c>
      <c r="AN62" s="312">
        <v>3</v>
      </c>
      <c r="AO62" s="312"/>
      <c r="AP62" s="312"/>
      <c r="AQ62" s="177"/>
      <c r="AR62" s="307" t="s">
        <v>656</v>
      </c>
      <c r="AS62" s="307" t="s">
        <v>654</v>
      </c>
      <c r="AT62" s="312" t="s">
        <v>674</v>
      </c>
      <c r="AU62" s="565" t="s">
        <v>15</v>
      </c>
      <c r="AV62" s="312" t="s">
        <v>674</v>
      </c>
      <c r="AW62" s="565" t="s">
        <v>15</v>
      </c>
      <c r="AX62" s="565" t="s">
        <v>15</v>
      </c>
      <c r="AY62" s="565" t="s">
        <v>15</v>
      </c>
      <c r="AZ62" s="565"/>
      <c r="BA62" s="565"/>
      <c r="BB62" s="177"/>
      <c r="BC62" s="177"/>
      <c r="BD62" s="177"/>
      <c r="BE62" s="177"/>
      <c r="BF62" s="177"/>
      <c r="BG62" s="177"/>
      <c r="BH62" s="177"/>
      <c r="BI62" s="177"/>
      <c r="BJ62" s="177"/>
      <c r="BK62" s="177"/>
      <c r="BL62" s="177"/>
      <c r="BM62" s="177"/>
      <c r="BN62" s="177"/>
      <c r="BO62" s="177"/>
      <c r="BP62" s="177"/>
      <c r="BQ62" s="177"/>
      <c r="BR62" s="177"/>
      <c r="BS62" s="177"/>
      <c r="BT62" s="177"/>
      <c r="BU62" s="177"/>
      <c r="BV62" s="177"/>
      <c r="BW62" s="177"/>
      <c r="BX62" s="177"/>
      <c r="BY62" s="177"/>
      <c r="BZ62" s="317" t="s">
        <v>660</v>
      </c>
      <c r="CA62" s="317" t="s">
        <v>654</v>
      </c>
      <c r="CB62" s="201">
        <v>0</v>
      </c>
      <c r="CC62" s="201">
        <v>0</v>
      </c>
      <c r="CD62" s="201">
        <v>0</v>
      </c>
      <c r="CE62" s="216">
        <v>0</v>
      </c>
      <c r="CF62" s="216">
        <v>0</v>
      </c>
      <c r="CG62" s="216">
        <v>0</v>
      </c>
      <c r="CH62" s="177"/>
      <c r="CI62" s="177"/>
      <c r="CJ62" s="177"/>
      <c r="CK62" s="177"/>
      <c r="CL62" s="177"/>
      <c r="CM62" s="177"/>
      <c r="CN62" s="177"/>
      <c r="CO62" s="177"/>
      <c r="CP62" s="177"/>
      <c r="CQ62" s="177"/>
      <c r="CR62" s="177"/>
      <c r="CS62" s="177"/>
      <c r="CT62" s="177"/>
      <c r="CU62" s="177"/>
      <c r="CV62" s="177"/>
      <c r="CW62" s="177"/>
      <c r="CX62" s="177"/>
      <c r="CY62" s="177"/>
      <c r="CZ62" s="177"/>
      <c r="DA62" s="177"/>
      <c r="DB62" s="177"/>
      <c r="DC62" s="177"/>
      <c r="DD62" s="177"/>
      <c r="DE62" s="177"/>
      <c r="DF62" s="177"/>
      <c r="DG62" s="177"/>
      <c r="DH62" s="177"/>
      <c r="DI62" s="177"/>
      <c r="DJ62" s="177"/>
      <c r="DK62" s="177"/>
      <c r="DL62" s="177"/>
      <c r="DM62" s="177"/>
      <c r="DN62" s="177"/>
      <c r="DO62" s="1"/>
      <c r="DP62" s="1"/>
      <c r="DQ62" s="1"/>
      <c r="DR62" s="1"/>
      <c r="DS62" s="1"/>
      <c r="DT62" s="1"/>
      <c r="DU62" s="1"/>
      <c r="DV62" s="1"/>
      <c r="DW62" s="1"/>
      <c r="DX62" s="1"/>
      <c r="DY62" s="1"/>
      <c r="DZ62" s="1"/>
      <c r="EA62" s="1"/>
      <c r="EB62" s="1"/>
      <c r="EC62" s="1"/>
      <c r="ED62" s="1"/>
      <c r="EE62" s="1"/>
      <c r="EF62" s="1"/>
      <c r="EG62" s="1"/>
      <c r="EH62" s="1"/>
    </row>
    <row r="63" spans="1:138">
      <c r="A63" s="177"/>
      <c r="B63" s="306" t="s">
        <v>657</v>
      </c>
      <c r="C63" s="307" t="s">
        <v>654</v>
      </c>
      <c r="D63" s="312">
        <v>0</v>
      </c>
      <c r="E63" s="312">
        <v>560000</v>
      </c>
      <c r="F63" s="312">
        <v>28000</v>
      </c>
      <c r="G63" s="312">
        <v>270000</v>
      </c>
      <c r="H63" s="312">
        <v>22000</v>
      </c>
      <c r="I63" s="313">
        <v>270000</v>
      </c>
      <c r="J63" s="177"/>
      <c r="K63" s="177"/>
      <c r="L63" s="307" t="s">
        <v>657</v>
      </c>
      <c r="M63" s="307" t="s">
        <v>654</v>
      </c>
      <c r="N63" s="570">
        <v>0</v>
      </c>
      <c r="O63" s="570">
        <v>350</v>
      </c>
      <c r="P63" s="570">
        <v>80</v>
      </c>
      <c r="Q63" s="570">
        <v>350</v>
      </c>
      <c r="R63" s="570">
        <v>500</v>
      </c>
      <c r="S63" s="570">
        <v>350</v>
      </c>
      <c r="T63" s="343">
        <v>1000</v>
      </c>
      <c r="U63" s="177"/>
      <c r="V63" s="307" t="s">
        <v>657</v>
      </c>
      <c r="W63" s="307" t="s">
        <v>654</v>
      </c>
      <c r="X63" s="591">
        <v>0</v>
      </c>
      <c r="Y63" s="592">
        <v>36</v>
      </c>
      <c r="Z63" s="591">
        <v>6</v>
      </c>
      <c r="AA63" s="591">
        <v>32</v>
      </c>
      <c r="AB63" s="591">
        <v>36</v>
      </c>
      <c r="AC63" s="591">
        <v>36</v>
      </c>
      <c r="AD63" s="580">
        <v>32</v>
      </c>
      <c r="AE63" s="593">
        <v>3.8</v>
      </c>
      <c r="AF63" s="177"/>
      <c r="AG63" s="307" t="s">
        <v>657</v>
      </c>
      <c r="AH63" s="307" t="s">
        <v>654</v>
      </c>
      <c r="AI63" s="312">
        <v>0</v>
      </c>
      <c r="AJ63" s="312">
        <v>3</v>
      </c>
      <c r="AK63" s="312">
        <v>2</v>
      </c>
      <c r="AL63" s="312">
        <v>3</v>
      </c>
      <c r="AM63" s="312">
        <v>4</v>
      </c>
      <c r="AN63" s="312">
        <v>3</v>
      </c>
      <c r="AO63" s="312"/>
      <c r="AP63" s="312"/>
      <c r="AQ63" s="177"/>
      <c r="AR63" s="307" t="s">
        <v>657</v>
      </c>
      <c r="AS63" s="307" t="s">
        <v>654</v>
      </c>
      <c r="AT63" s="312" t="s">
        <v>674</v>
      </c>
      <c r="AU63" s="565" t="s">
        <v>15</v>
      </c>
      <c r="AV63" s="312" t="s">
        <v>674</v>
      </c>
      <c r="AW63" s="565" t="s">
        <v>15</v>
      </c>
      <c r="AX63" s="565" t="s">
        <v>15</v>
      </c>
      <c r="AY63" s="565" t="s">
        <v>15</v>
      </c>
      <c r="AZ63" s="565"/>
      <c r="BA63" s="565"/>
      <c r="BB63" s="177"/>
      <c r="BC63" s="177"/>
      <c r="BD63" s="177"/>
      <c r="BE63" s="177"/>
      <c r="BF63" s="177"/>
      <c r="BG63" s="177"/>
      <c r="BH63" s="177"/>
      <c r="BI63" s="177"/>
      <c r="BJ63" s="177"/>
      <c r="BK63" s="177"/>
      <c r="BL63" s="177"/>
      <c r="BM63" s="177"/>
      <c r="BN63" s="177"/>
      <c r="BO63" s="177"/>
      <c r="BP63" s="177"/>
      <c r="BQ63" s="177"/>
      <c r="BR63" s="177"/>
      <c r="BS63" s="177"/>
      <c r="BT63" s="177"/>
      <c r="BU63" s="177"/>
      <c r="BV63" s="177"/>
      <c r="BW63" s="177"/>
      <c r="BX63" s="177"/>
      <c r="BY63" s="177"/>
      <c r="BZ63" s="317" t="s">
        <v>661</v>
      </c>
      <c r="CA63" s="317" t="s">
        <v>654</v>
      </c>
      <c r="CB63" s="201">
        <v>0</v>
      </c>
      <c r="CC63" s="201">
        <v>0</v>
      </c>
      <c r="CD63" s="201">
        <v>0</v>
      </c>
      <c r="CE63" s="216">
        <v>0</v>
      </c>
      <c r="CF63" s="216">
        <v>0</v>
      </c>
      <c r="CG63" s="216">
        <v>0</v>
      </c>
      <c r="CH63" s="177"/>
      <c r="CI63" s="177"/>
      <c r="CJ63" s="177"/>
      <c r="CK63" s="177"/>
      <c r="CL63" s="177"/>
      <c r="CM63" s="177"/>
      <c r="CN63" s="177"/>
      <c r="CO63" s="177"/>
      <c r="CP63" s="177"/>
      <c r="CQ63" s="177"/>
      <c r="CR63" s="177"/>
      <c r="CS63" s="177"/>
      <c r="CT63" s="177"/>
      <c r="CU63" s="177"/>
      <c r="CV63" s="177"/>
      <c r="CW63" s="177"/>
      <c r="CX63" s="177"/>
      <c r="CY63" s="177"/>
      <c r="CZ63" s="177"/>
      <c r="DA63" s="177"/>
      <c r="DB63" s="177"/>
      <c r="DC63" s="177"/>
      <c r="DD63" s="177"/>
      <c r="DE63" s="177"/>
      <c r="DF63" s="177"/>
      <c r="DG63" s="177"/>
      <c r="DH63" s="177"/>
      <c r="DI63" s="177"/>
      <c r="DJ63" s="177"/>
      <c r="DK63" s="177"/>
      <c r="DL63" s="177"/>
      <c r="DM63" s="177"/>
      <c r="DN63" s="177"/>
      <c r="DO63" s="1"/>
      <c r="DP63" s="1"/>
      <c r="DQ63" s="1"/>
      <c r="DR63" s="1"/>
      <c r="DS63" s="1"/>
      <c r="DT63" s="1"/>
      <c r="DU63" s="1"/>
      <c r="DV63" s="1"/>
      <c r="DW63" s="1"/>
      <c r="DX63" s="1"/>
      <c r="DY63" s="1"/>
      <c r="DZ63" s="1"/>
      <c r="EA63" s="1"/>
      <c r="EB63" s="1"/>
      <c r="EC63" s="1"/>
      <c r="ED63" s="1"/>
      <c r="EE63" s="1"/>
      <c r="EF63" s="1"/>
      <c r="EG63" s="1"/>
      <c r="EH63" s="1"/>
    </row>
    <row r="64" spans="1:138">
      <c r="A64" s="177"/>
      <c r="B64" s="306" t="s">
        <v>658</v>
      </c>
      <c r="C64" s="307" t="s">
        <v>654</v>
      </c>
      <c r="D64" s="312">
        <v>0</v>
      </c>
      <c r="E64" s="312">
        <v>570000</v>
      </c>
      <c r="F64" s="312">
        <v>28000</v>
      </c>
      <c r="G64" s="312">
        <v>270000</v>
      </c>
      <c r="H64" s="312">
        <v>22000</v>
      </c>
      <c r="I64" s="313">
        <v>270000</v>
      </c>
      <c r="J64" s="177"/>
      <c r="K64" s="177"/>
      <c r="L64" s="307" t="s">
        <v>658</v>
      </c>
      <c r="M64" s="307" t="s">
        <v>654</v>
      </c>
      <c r="N64" s="570">
        <v>0</v>
      </c>
      <c r="O64" s="570">
        <v>350</v>
      </c>
      <c r="P64" s="570">
        <v>80</v>
      </c>
      <c r="Q64" s="570">
        <v>350</v>
      </c>
      <c r="R64" s="570">
        <v>500</v>
      </c>
      <c r="S64" s="570">
        <v>350</v>
      </c>
      <c r="T64" s="343">
        <v>1000</v>
      </c>
      <c r="U64" s="177"/>
      <c r="V64" s="307" t="s">
        <v>658</v>
      </c>
      <c r="W64" s="307" t="s">
        <v>654</v>
      </c>
      <c r="X64" s="591">
        <v>0</v>
      </c>
      <c r="Y64" s="592">
        <v>46</v>
      </c>
      <c r="Z64" s="591">
        <v>6</v>
      </c>
      <c r="AA64" s="591">
        <v>35</v>
      </c>
      <c r="AB64" s="591">
        <v>46</v>
      </c>
      <c r="AC64" s="591">
        <v>46</v>
      </c>
      <c r="AD64" s="580">
        <v>35</v>
      </c>
      <c r="AE64" s="593">
        <v>4.5</v>
      </c>
      <c r="AF64" s="177"/>
      <c r="AG64" s="307" t="s">
        <v>658</v>
      </c>
      <c r="AH64" s="307" t="s">
        <v>654</v>
      </c>
      <c r="AI64" s="312">
        <v>0</v>
      </c>
      <c r="AJ64" s="312">
        <v>3</v>
      </c>
      <c r="AK64" s="312">
        <v>2</v>
      </c>
      <c r="AL64" s="312">
        <v>3</v>
      </c>
      <c r="AM64" s="312">
        <v>4</v>
      </c>
      <c r="AN64" s="312">
        <v>3</v>
      </c>
      <c r="AO64" s="312"/>
      <c r="AP64" s="312"/>
      <c r="AQ64" s="177"/>
      <c r="AR64" s="307" t="s">
        <v>658</v>
      </c>
      <c r="AS64" s="307" t="s">
        <v>654</v>
      </c>
      <c r="AT64" s="312" t="s">
        <v>674</v>
      </c>
      <c r="AU64" s="565" t="s">
        <v>15</v>
      </c>
      <c r="AV64" s="312" t="s">
        <v>674</v>
      </c>
      <c r="AW64" s="565" t="s">
        <v>15</v>
      </c>
      <c r="AX64" s="565" t="s">
        <v>15</v>
      </c>
      <c r="AY64" s="565" t="s">
        <v>15</v>
      </c>
      <c r="AZ64" s="565"/>
      <c r="BA64" s="565"/>
      <c r="BB64" s="177"/>
      <c r="BC64" s="177"/>
      <c r="BD64" s="177"/>
      <c r="BE64" s="177"/>
      <c r="BF64" s="177"/>
      <c r="BG64" s="177"/>
      <c r="BH64" s="177"/>
      <c r="BI64" s="177"/>
      <c r="BJ64" s="177"/>
      <c r="BK64" s="177"/>
      <c r="BL64" s="177"/>
      <c r="BM64" s="177"/>
      <c r="BN64" s="177"/>
      <c r="BO64" s="177"/>
      <c r="BP64" s="177"/>
      <c r="BQ64" s="177"/>
      <c r="BR64" s="177"/>
      <c r="BS64" s="177"/>
      <c r="BT64" s="177"/>
      <c r="BU64" s="177"/>
      <c r="BV64" s="177"/>
      <c r="BW64" s="177"/>
      <c r="BX64" s="177"/>
      <c r="BY64" s="177"/>
      <c r="BZ64" s="317" t="s">
        <v>662</v>
      </c>
      <c r="CA64" s="317" t="s">
        <v>654</v>
      </c>
      <c r="CB64" s="201">
        <v>0</v>
      </c>
      <c r="CC64" s="201">
        <v>0</v>
      </c>
      <c r="CD64" s="201">
        <v>0</v>
      </c>
      <c r="CE64" s="216">
        <v>0</v>
      </c>
      <c r="CF64" s="216">
        <v>0</v>
      </c>
      <c r="CG64" s="216">
        <v>0</v>
      </c>
      <c r="CH64" s="177"/>
      <c r="CI64" s="177"/>
      <c r="CJ64" s="177"/>
      <c r="CK64" s="177"/>
      <c r="CL64" s="177"/>
      <c r="CM64" s="177"/>
      <c r="CN64" s="177"/>
      <c r="CO64" s="177"/>
      <c r="CP64" s="177"/>
      <c r="CQ64" s="177"/>
      <c r="CR64" s="177"/>
      <c r="CS64" s="177"/>
      <c r="CT64" s="177"/>
      <c r="CU64" s="177"/>
      <c r="CV64" s="177"/>
      <c r="CW64" s="177"/>
      <c r="CX64" s="177"/>
      <c r="CY64" s="177"/>
      <c r="CZ64" s="177"/>
      <c r="DA64" s="177"/>
      <c r="DB64" s="177"/>
      <c r="DC64" s="177"/>
      <c r="DD64" s="177"/>
      <c r="DE64" s="177"/>
      <c r="DF64" s="177"/>
      <c r="DG64" s="177"/>
      <c r="DH64" s="177"/>
      <c r="DI64" s="177"/>
      <c r="DJ64" s="177"/>
      <c r="DK64" s="177"/>
      <c r="DL64" s="177"/>
      <c r="DM64" s="177"/>
      <c r="DN64" s="177"/>
      <c r="DO64" s="1"/>
      <c r="DP64" s="1"/>
      <c r="DQ64" s="1"/>
      <c r="DR64" s="1"/>
      <c r="DS64" s="1"/>
      <c r="DT64" s="1"/>
      <c r="DU64" s="1"/>
      <c r="DV64" s="1"/>
      <c r="DW64" s="1"/>
      <c r="DX64" s="1"/>
      <c r="DY64" s="1"/>
      <c r="DZ64" s="1"/>
      <c r="EA64" s="1"/>
      <c r="EB64" s="1"/>
      <c r="EC64" s="1"/>
      <c r="ED64" s="1"/>
      <c r="EE64" s="1"/>
      <c r="EF64" s="1"/>
      <c r="EG64" s="1"/>
      <c r="EH64" s="1"/>
    </row>
    <row r="65" spans="1:138">
      <c r="A65" s="177"/>
      <c r="B65" s="306" t="s">
        <v>659</v>
      </c>
      <c r="C65" s="307" t="s">
        <v>654</v>
      </c>
      <c r="D65" s="312">
        <v>0</v>
      </c>
      <c r="E65" s="312">
        <v>580000</v>
      </c>
      <c r="F65" s="312">
        <v>28000</v>
      </c>
      <c r="G65" s="312">
        <v>270000</v>
      </c>
      <c r="H65" s="312">
        <v>22000</v>
      </c>
      <c r="I65" s="313">
        <v>270000</v>
      </c>
      <c r="J65" s="177"/>
      <c r="K65" s="177"/>
      <c r="L65" s="307" t="s">
        <v>659</v>
      </c>
      <c r="M65" s="307" t="s">
        <v>654</v>
      </c>
      <c r="N65" s="570">
        <v>0</v>
      </c>
      <c r="O65" s="570">
        <v>350</v>
      </c>
      <c r="P65" s="570">
        <v>80</v>
      </c>
      <c r="Q65" s="570">
        <v>350</v>
      </c>
      <c r="R65" s="570">
        <v>500</v>
      </c>
      <c r="S65" s="570">
        <v>350</v>
      </c>
      <c r="T65" s="343">
        <v>1000</v>
      </c>
      <c r="U65" s="177"/>
      <c r="V65" s="307" t="s">
        <v>659</v>
      </c>
      <c r="W65" s="307" t="s">
        <v>654</v>
      </c>
      <c r="X65" s="591">
        <v>0</v>
      </c>
      <c r="Y65" s="592">
        <v>46</v>
      </c>
      <c r="Z65" s="591">
        <v>6</v>
      </c>
      <c r="AA65" s="591">
        <v>36</v>
      </c>
      <c r="AB65" s="591">
        <v>46</v>
      </c>
      <c r="AC65" s="591">
        <v>46</v>
      </c>
      <c r="AD65" s="580">
        <v>36</v>
      </c>
      <c r="AE65" s="593">
        <v>5.2</v>
      </c>
      <c r="AF65" s="177"/>
      <c r="AG65" s="307" t="s">
        <v>659</v>
      </c>
      <c r="AH65" s="307" t="s">
        <v>654</v>
      </c>
      <c r="AI65" s="312">
        <v>0</v>
      </c>
      <c r="AJ65" s="312">
        <v>3</v>
      </c>
      <c r="AK65" s="312">
        <v>2</v>
      </c>
      <c r="AL65" s="312">
        <v>3</v>
      </c>
      <c r="AM65" s="312">
        <v>4</v>
      </c>
      <c r="AN65" s="312">
        <v>3</v>
      </c>
      <c r="AO65" s="312"/>
      <c r="AP65" s="312"/>
      <c r="AQ65" s="177"/>
      <c r="AR65" s="307" t="s">
        <v>659</v>
      </c>
      <c r="AS65" s="307" t="s">
        <v>654</v>
      </c>
      <c r="AT65" s="312" t="s">
        <v>674</v>
      </c>
      <c r="AU65" s="565" t="s">
        <v>15</v>
      </c>
      <c r="AV65" s="312" t="s">
        <v>674</v>
      </c>
      <c r="AW65" s="565" t="s">
        <v>15</v>
      </c>
      <c r="AX65" s="565" t="s">
        <v>15</v>
      </c>
      <c r="AY65" s="565" t="s">
        <v>15</v>
      </c>
      <c r="AZ65" s="565"/>
      <c r="BA65" s="565"/>
      <c r="BB65" s="177"/>
      <c r="BC65" s="177"/>
      <c r="BD65" s="177"/>
      <c r="BE65" s="177"/>
      <c r="BF65" s="177"/>
      <c r="BG65" s="177"/>
      <c r="BH65" s="177"/>
      <c r="BI65" s="177"/>
      <c r="BJ65" s="177"/>
      <c r="BK65" s="177"/>
      <c r="BL65" s="177"/>
      <c r="BM65" s="177"/>
      <c r="BN65" s="177"/>
      <c r="BO65" s="177"/>
      <c r="BP65" s="177"/>
      <c r="BQ65" s="177"/>
      <c r="BR65" s="177"/>
      <c r="BS65" s="177"/>
      <c r="BT65" s="177"/>
      <c r="BU65" s="177"/>
      <c r="BV65" s="177"/>
      <c r="BW65" s="177"/>
      <c r="BX65" s="177"/>
      <c r="BY65" s="177"/>
      <c r="BZ65" s="317" t="s">
        <v>663</v>
      </c>
      <c r="CA65" s="317" t="s">
        <v>654</v>
      </c>
      <c r="CB65" s="201">
        <v>0</v>
      </c>
      <c r="CC65" s="201">
        <v>0</v>
      </c>
      <c r="CD65" s="201">
        <v>0</v>
      </c>
      <c r="CE65" s="216">
        <v>0</v>
      </c>
      <c r="CF65" s="216">
        <v>0</v>
      </c>
      <c r="CG65" s="216">
        <v>0</v>
      </c>
      <c r="CH65" s="177"/>
      <c r="CI65" s="177"/>
      <c r="CJ65" s="177"/>
      <c r="CK65" s="177"/>
      <c r="CL65" s="177"/>
      <c r="CM65" s="177"/>
      <c r="CN65" s="177"/>
      <c r="CO65" s="177"/>
      <c r="CP65" s="177"/>
      <c r="CQ65" s="177"/>
      <c r="CR65" s="177"/>
      <c r="CS65" s="177"/>
      <c r="CT65" s="177"/>
      <c r="CU65" s="177"/>
      <c r="CV65" s="177"/>
      <c r="CW65" s="177"/>
      <c r="CX65" s="177"/>
      <c r="CY65" s="177"/>
      <c r="CZ65" s="177"/>
      <c r="DA65" s="177"/>
      <c r="DB65" s="177"/>
      <c r="DC65" s="177"/>
      <c r="DD65" s="177"/>
      <c r="DE65" s="177"/>
      <c r="DF65" s="177"/>
      <c r="DG65" s="177"/>
      <c r="DH65" s="177"/>
      <c r="DI65" s="177"/>
      <c r="DJ65" s="177"/>
      <c r="DK65" s="177"/>
      <c r="DL65" s="177"/>
      <c r="DM65" s="177"/>
      <c r="DN65" s="177"/>
      <c r="DO65" s="1"/>
      <c r="DP65" s="1"/>
      <c r="DQ65" s="1"/>
      <c r="DR65" s="1"/>
      <c r="DS65" s="1"/>
      <c r="DT65" s="1"/>
      <c r="DU65" s="1"/>
      <c r="DV65" s="1"/>
      <c r="DW65" s="1"/>
      <c r="DX65" s="1"/>
      <c r="DY65" s="1"/>
      <c r="DZ65" s="1"/>
      <c r="EA65" s="1"/>
      <c r="EB65" s="1"/>
      <c r="EC65" s="1"/>
      <c r="ED65" s="1"/>
      <c r="EE65" s="1"/>
      <c r="EF65" s="1"/>
      <c r="EG65" s="1"/>
      <c r="EH65" s="1"/>
    </row>
    <row r="66" spans="1:138">
      <c r="A66" s="177"/>
      <c r="B66" s="306" t="s">
        <v>660</v>
      </c>
      <c r="C66" s="307" t="s">
        <v>654</v>
      </c>
      <c r="D66" s="312">
        <v>0</v>
      </c>
      <c r="E66" s="312">
        <v>590000</v>
      </c>
      <c r="F66" s="312">
        <v>30000</v>
      </c>
      <c r="G66" s="312">
        <v>270000</v>
      </c>
      <c r="H66" s="312">
        <v>22000</v>
      </c>
      <c r="I66" s="313">
        <v>270000</v>
      </c>
      <c r="J66" s="177"/>
      <c r="K66" s="177"/>
      <c r="L66" s="307" t="s">
        <v>660</v>
      </c>
      <c r="M66" s="307" t="s">
        <v>654</v>
      </c>
      <c r="N66" s="570">
        <v>0</v>
      </c>
      <c r="O66" s="570">
        <v>350</v>
      </c>
      <c r="P66" s="570">
        <v>80</v>
      </c>
      <c r="Q66" s="570">
        <v>350</v>
      </c>
      <c r="R66" s="570">
        <v>500</v>
      </c>
      <c r="S66" s="570">
        <v>350</v>
      </c>
      <c r="T66" s="343">
        <v>1000</v>
      </c>
      <c r="U66" s="177"/>
      <c r="V66" s="307" t="s">
        <v>660</v>
      </c>
      <c r="W66" s="307" t="s">
        <v>654</v>
      </c>
      <c r="X66" s="591">
        <v>0</v>
      </c>
      <c r="Y66" s="592">
        <v>48</v>
      </c>
      <c r="Z66" s="591">
        <v>7</v>
      </c>
      <c r="AA66" s="591">
        <v>38</v>
      </c>
      <c r="AB66" s="591">
        <v>48</v>
      </c>
      <c r="AC66" s="591">
        <v>48</v>
      </c>
      <c r="AD66" s="580">
        <v>38</v>
      </c>
      <c r="AE66" s="593">
        <v>5.2</v>
      </c>
      <c r="AF66" s="177"/>
      <c r="AG66" s="307" t="s">
        <v>660</v>
      </c>
      <c r="AH66" s="307" t="s">
        <v>654</v>
      </c>
      <c r="AI66" s="312">
        <v>0</v>
      </c>
      <c r="AJ66" s="312">
        <v>3</v>
      </c>
      <c r="AK66" s="312">
        <v>2</v>
      </c>
      <c r="AL66" s="312">
        <v>3</v>
      </c>
      <c r="AM66" s="312">
        <v>4</v>
      </c>
      <c r="AN66" s="312">
        <v>3</v>
      </c>
      <c r="AO66" s="312"/>
      <c r="AP66" s="312"/>
      <c r="AQ66" s="177"/>
      <c r="AR66" s="307" t="s">
        <v>660</v>
      </c>
      <c r="AS66" s="307" t="s">
        <v>654</v>
      </c>
      <c r="AT66" s="312" t="s">
        <v>674</v>
      </c>
      <c r="AU66" s="565" t="s">
        <v>15</v>
      </c>
      <c r="AV66" s="312" t="s">
        <v>674</v>
      </c>
      <c r="AW66" s="565" t="s">
        <v>15</v>
      </c>
      <c r="AX66" s="565" t="s">
        <v>15</v>
      </c>
      <c r="AY66" s="565" t="s">
        <v>15</v>
      </c>
      <c r="AZ66" s="565"/>
      <c r="BA66" s="565"/>
      <c r="BB66" s="177"/>
      <c r="BC66" s="177"/>
      <c r="BD66" s="177"/>
      <c r="BE66" s="177"/>
      <c r="BF66" s="177"/>
      <c r="BG66" s="177"/>
      <c r="BH66" s="177"/>
      <c r="BI66" s="177"/>
      <c r="BJ66" s="177"/>
      <c r="BK66" s="177"/>
      <c r="BL66" s="177"/>
      <c r="BM66" s="177"/>
      <c r="BN66" s="177"/>
      <c r="BO66" s="177"/>
      <c r="BP66" s="177"/>
      <c r="BQ66" s="177"/>
      <c r="BR66" s="177"/>
      <c r="BS66" s="177"/>
      <c r="BT66" s="177"/>
      <c r="BU66" s="177"/>
      <c r="BV66" s="177"/>
      <c r="BW66" s="177"/>
      <c r="BX66" s="177"/>
      <c r="BY66" s="177"/>
      <c r="BZ66" s="317" t="s">
        <v>664</v>
      </c>
      <c r="CA66" s="317" t="s">
        <v>654</v>
      </c>
      <c r="CB66" s="201">
        <v>0</v>
      </c>
      <c r="CC66" s="201">
        <v>0</v>
      </c>
      <c r="CD66" s="201">
        <v>0</v>
      </c>
      <c r="CE66" s="216">
        <v>0</v>
      </c>
      <c r="CF66" s="216">
        <v>0</v>
      </c>
      <c r="CG66" s="216">
        <v>0</v>
      </c>
      <c r="CH66" s="177"/>
      <c r="CI66" s="177"/>
      <c r="CJ66" s="177"/>
      <c r="CK66" s="177"/>
      <c r="CL66" s="177"/>
      <c r="CM66" s="177"/>
      <c r="CN66" s="177"/>
      <c r="CO66" s="177"/>
      <c r="CP66" s="177"/>
      <c r="CQ66" s="177"/>
      <c r="CR66" s="177"/>
      <c r="CS66" s="177"/>
      <c r="CT66" s="177"/>
      <c r="CU66" s="177"/>
      <c r="CV66" s="177"/>
      <c r="CW66" s="177"/>
      <c r="CX66" s="177"/>
      <c r="CY66" s="177"/>
      <c r="CZ66" s="177"/>
      <c r="DA66" s="177"/>
      <c r="DB66" s="177"/>
      <c r="DC66" s="177"/>
      <c r="DD66" s="177"/>
      <c r="DE66" s="177"/>
      <c r="DF66" s="177"/>
      <c r="DG66" s="177"/>
      <c r="DH66" s="177"/>
      <c r="DI66" s="177"/>
      <c r="DJ66" s="177"/>
      <c r="DK66" s="177"/>
      <c r="DL66" s="177"/>
      <c r="DM66" s="177"/>
      <c r="DN66" s="177"/>
      <c r="DO66" s="1"/>
      <c r="DP66" s="1"/>
      <c r="DQ66" s="1"/>
      <c r="DR66" s="1"/>
      <c r="DS66" s="1"/>
      <c r="DT66" s="1"/>
      <c r="DU66" s="1"/>
      <c r="DV66" s="1"/>
      <c r="DW66" s="1"/>
      <c r="DX66" s="1"/>
      <c r="DY66" s="1"/>
      <c r="DZ66" s="1"/>
      <c r="EA66" s="1"/>
      <c r="EB66" s="1"/>
      <c r="EC66" s="1"/>
      <c r="ED66" s="1"/>
      <c r="EE66" s="1"/>
      <c r="EF66" s="1"/>
      <c r="EG66" s="1"/>
      <c r="EH66" s="1"/>
    </row>
    <row r="67" spans="1:138">
      <c r="A67" s="177"/>
      <c r="B67" s="306" t="s">
        <v>661</v>
      </c>
      <c r="C67" s="307" t="s">
        <v>654</v>
      </c>
      <c r="D67" s="312">
        <v>0</v>
      </c>
      <c r="E67" s="312">
        <v>610000</v>
      </c>
      <c r="F67" s="312">
        <v>32000</v>
      </c>
      <c r="G67" s="312">
        <v>280000</v>
      </c>
      <c r="H67" s="312">
        <v>22000</v>
      </c>
      <c r="I67" s="313">
        <v>280000</v>
      </c>
      <c r="J67" s="177"/>
      <c r="K67" s="177"/>
      <c r="L67" s="307" t="s">
        <v>661</v>
      </c>
      <c r="M67" s="307" t="s">
        <v>654</v>
      </c>
      <c r="N67" s="570">
        <v>0</v>
      </c>
      <c r="O67" s="570">
        <v>350</v>
      </c>
      <c r="P67" s="570">
        <v>80</v>
      </c>
      <c r="Q67" s="570">
        <v>350</v>
      </c>
      <c r="R67" s="570">
        <v>500</v>
      </c>
      <c r="S67" s="570">
        <v>350</v>
      </c>
      <c r="T67" s="343">
        <v>1000</v>
      </c>
      <c r="U67" s="177"/>
      <c r="V67" s="307" t="s">
        <v>661</v>
      </c>
      <c r="W67" s="307" t="s">
        <v>654</v>
      </c>
      <c r="X67" s="591">
        <v>0</v>
      </c>
      <c r="Y67" s="592">
        <v>50</v>
      </c>
      <c r="Z67" s="591">
        <v>7</v>
      </c>
      <c r="AA67" s="591">
        <v>53</v>
      </c>
      <c r="AB67" s="591">
        <v>53</v>
      </c>
      <c r="AC67" s="591">
        <v>53</v>
      </c>
      <c r="AD67" s="580">
        <v>53</v>
      </c>
      <c r="AE67" s="593">
        <v>7</v>
      </c>
      <c r="AF67" s="177"/>
      <c r="AG67" s="307" t="s">
        <v>661</v>
      </c>
      <c r="AH67" s="307" t="s">
        <v>654</v>
      </c>
      <c r="AI67" s="312">
        <v>0</v>
      </c>
      <c r="AJ67" s="312">
        <v>3</v>
      </c>
      <c r="AK67" s="312">
        <v>2</v>
      </c>
      <c r="AL67" s="312">
        <v>3</v>
      </c>
      <c r="AM67" s="312">
        <v>4</v>
      </c>
      <c r="AN67" s="312">
        <v>3</v>
      </c>
      <c r="AO67" s="312"/>
      <c r="AP67" s="312"/>
      <c r="AQ67" s="177"/>
      <c r="AR67" s="307" t="s">
        <v>661</v>
      </c>
      <c r="AS67" s="307" t="s">
        <v>654</v>
      </c>
      <c r="AT67" s="312" t="s">
        <v>674</v>
      </c>
      <c r="AU67" s="565" t="s">
        <v>15</v>
      </c>
      <c r="AV67" s="312" t="s">
        <v>674</v>
      </c>
      <c r="AW67" s="565" t="s">
        <v>15</v>
      </c>
      <c r="AX67" s="565" t="s">
        <v>15</v>
      </c>
      <c r="AY67" s="565" t="s">
        <v>15</v>
      </c>
      <c r="AZ67" s="565"/>
      <c r="BA67" s="565"/>
      <c r="BB67" s="177"/>
      <c r="BC67" s="177"/>
      <c r="BD67" s="177"/>
      <c r="BE67" s="177"/>
      <c r="BF67" s="177"/>
      <c r="BG67" s="177"/>
      <c r="BH67" s="177"/>
      <c r="BI67" s="177"/>
      <c r="BJ67" s="177"/>
      <c r="BK67" s="177"/>
      <c r="BL67" s="177"/>
      <c r="BM67" s="177"/>
      <c r="BN67" s="177"/>
      <c r="BO67" s="177"/>
      <c r="BP67" s="177"/>
      <c r="BQ67" s="177"/>
      <c r="BR67" s="177"/>
      <c r="BS67" s="177"/>
      <c r="BT67" s="177"/>
      <c r="BU67" s="177"/>
      <c r="BV67" s="177"/>
      <c r="BW67" s="177"/>
      <c r="BX67" s="177"/>
      <c r="BY67" s="177"/>
      <c r="BZ67" s="317" t="s">
        <v>665</v>
      </c>
      <c r="CA67" s="317" t="s">
        <v>654</v>
      </c>
      <c r="CB67" s="201">
        <v>0</v>
      </c>
      <c r="CC67" s="201">
        <v>0</v>
      </c>
      <c r="CD67" s="201">
        <v>0</v>
      </c>
      <c r="CE67" s="216">
        <v>0</v>
      </c>
      <c r="CF67" s="216">
        <v>0</v>
      </c>
      <c r="CG67" s="216">
        <v>0</v>
      </c>
      <c r="CH67" s="177"/>
      <c r="CI67" s="177"/>
      <c r="CJ67" s="177"/>
      <c r="CK67" s="177"/>
      <c r="CL67" s="177"/>
      <c r="CM67" s="177"/>
      <c r="CN67" s="177"/>
      <c r="CO67" s="177"/>
      <c r="CP67" s="177"/>
      <c r="CQ67" s="177"/>
      <c r="CR67" s="177"/>
      <c r="CS67" s="177"/>
      <c r="CT67" s="177"/>
      <c r="CU67" s="177"/>
      <c r="CV67" s="177"/>
      <c r="CW67" s="177"/>
      <c r="CX67" s="177"/>
      <c r="CY67" s="177"/>
      <c r="CZ67" s="177"/>
      <c r="DA67" s="177"/>
      <c r="DB67" s="177"/>
      <c r="DC67" s="177"/>
      <c r="DD67" s="177"/>
      <c r="DE67" s="177"/>
      <c r="DF67" s="177"/>
      <c r="DG67" s="177"/>
      <c r="DH67" s="177"/>
      <c r="DI67" s="177"/>
      <c r="DJ67" s="177"/>
      <c r="DK67" s="177"/>
      <c r="DL67" s="177"/>
      <c r="DM67" s="177"/>
      <c r="DN67" s="177"/>
      <c r="DO67" s="1"/>
      <c r="DP67" s="1"/>
      <c r="DQ67" s="1"/>
      <c r="DR67" s="1"/>
      <c r="DS67" s="1"/>
      <c r="DT67" s="1"/>
      <c r="DU67" s="1"/>
      <c r="DV67" s="1"/>
      <c r="DW67" s="1"/>
      <c r="DX67" s="1"/>
      <c r="DY67" s="1"/>
      <c r="DZ67" s="1"/>
      <c r="EA67" s="1"/>
      <c r="EB67" s="1"/>
      <c r="EC67" s="1"/>
      <c r="ED67" s="1"/>
      <c r="EE67" s="1"/>
      <c r="EF67" s="1"/>
      <c r="EG67" s="1"/>
      <c r="EH67" s="1"/>
    </row>
    <row r="68" spans="1:138">
      <c r="A68" s="177"/>
      <c r="B68" s="306" t="s">
        <v>662</v>
      </c>
      <c r="C68" s="307" t="s">
        <v>654</v>
      </c>
      <c r="D68" s="312">
        <v>0</v>
      </c>
      <c r="E68" s="312">
        <v>630000</v>
      </c>
      <c r="F68" s="312">
        <v>32000</v>
      </c>
      <c r="G68" s="312">
        <v>280000</v>
      </c>
      <c r="H68" s="312">
        <v>22000</v>
      </c>
      <c r="I68" s="313">
        <v>280000</v>
      </c>
      <c r="J68" s="177"/>
      <c r="K68" s="177"/>
      <c r="L68" s="307" t="s">
        <v>662</v>
      </c>
      <c r="M68" s="307" t="s">
        <v>654</v>
      </c>
      <c r="N68" s="570">
        <v>0</v>
      </c>
      <c r="O68" s="570">
        <v>350</v>
      </c>
      <c r="P68" s="570">
        <v>80</v>
      </c>
      <c r="Q68" s="570">
        <v>350</v>
      </c>
      <c r="R68" s="570">
        <v>500</v>
      </c>
      <c r="S68" s="570">
        <v>350</v>
      </c>
      <c r="T68" s="343">
        <v>1000</v>
      </c>
      <c r="U68" s="177"/>
      <c r="V68" s="307" t="s">
        <v>662</v>
      </c>
      <c r="W68" s="307" t="s">
        <v>654</v>
      </c>
      <c r="X68" s="591">
        <v>0</v>
      </c>
      <c r="Y68" s="592">
        <v>55</v>
      </c>
      <c r="Z68" s="591">
        <v>7</v>
      </c>
      <c r="AA68" s="591">
        <v>51</v>
      </c>
      <c r="AB68" s="591">
        <v>55</v>
      </c>
      <c r="AC68" s="591">
        <v>55</v>
      </c>
      <c r="AD68" s="580">
        <v>51</v>
      </c>
      <c r="AE68" s="593">
        <v>8.8000000000000007</v>
      </c>
      <c r="AF68" s="177"/>
      <c r="AG68" s="307" t="s">
        <v>662</v>
      </c>
      <c r="AH68" s="307" t="s">
        <v>654</v>
      </c>
      <c r="AI68" s="312">
        <v>0</v>
      </c>
      <c r="AJ68" s="312">
        <v>3</v>
      </c>
      <c r="AK68" s="312">
        <v>2</v>
      </c>
      <c r="AL68" s="312">
        <v>3</v>
      </c>
      <c r="AM68" s="312">
        <v>4</v>
      </c>
      <c r="AN68" s="312">
        <v>3</v>
      </c>
      <c r="AO68" s="312"/>
      <c r="AP68" s="312"/>
      <c r="AQ68" s="177"/>
      <c r="AR68" s="307" t="s">
        <v>662</v>
      </c>
      <c r="AS68" s="307" t="s">
        <v>654</v>
      </c>
      <c r="AT68" s="312" t="s">
        <v>674</v>
      </c>
      <c r="AU68" s="565" t="s">
        <v>15</v>
      </c>
      <c r="AV68" s="312" t="s">
        <v>674</v>
      </c>
      <c r="AW68" s="565" t="s">
        <v>15</v>
      </c>
      <c r="AX68" s="565" t="s">
        <v>15</v>
      </c>
      <c r="AY68" s="565" t="s">
        <v>15</v>
      </c>
      <c r="AZ68" s="565"/>
      <c r="BA68" s="565"/>
      <c r="BB68" s="177"/>
      <c r="BC68" s="177"/>
      <c r="BD68" s="177"/>
      <c r="BE68" s="177"/>
      <c r="BF68" s="177"/>
      <c r="BG68" s="177"/>
      <c r="BH68" s="177"/>
      <c r="BI68" s="177"/>
      <c r="BJ68" s="177"/>
      <c r="BK68" s="177"/>
      <c r="BL68" s="177"/>
      <c r="BM68" s="177"/>
      <c r="BN68" s="177"/>
      <c r="BO68" s="177"/>
      <c r="BP68" s="177"/>
      <c r="BQ68" s="177"/>
      <c r="BR68" s="177"/>
      <c r="BS68" s="177"/>
      <c r="BT68" s="177"/>
      <c r="BU68" s="177"/>
      <c r="BV68" s="177"/>
      <c r="BW68" s="177"/>
      <c r="BX68" s="177"/>
      <c r="BY68" s="177"/>
      <c r="BZ68" s="317" t="s">
        <v>666</v>
      </c>
      <c r="CA68" s="317" t="s">
        <v>654</v>
      </c>
      <c r="CB68" s="201">
        <v>0</v>
      </c>
      <c r="CC68" s="201">
        <v>0</v>
      </c>
      <c r="CD68" s="201">
        <v>0</v>
      </c>
      <c r="CE68" s="216">
        <v>0</v>
      </c>
      <c r="CF68" s="216">
        <v>0</v>
      </c>
      <c r="CG68" s="216">
        <v>0</v>
      </c>
      <c r="CH68" s="177"/>
      <c r="CI68" s="177"/>
      <c r="CJ68" s="177"/>
      <c r="CK68" s="177"/>
      <c r="CL68" s="177"/>
      <c r="CM68" s="177"/>
      <c r="CN68" s="177"/>
      <c r="CO68" s="177"/>
      <c r="CP68" s="177"/>
      <c r="CQ68" s="177"/>
      <c r="CR68" s="177"/>
      <c r="CS68" s="177"/>
      <c r="CT68" s="177"/>
      <c r="CU68" s="177"/>
      <c r="CV68" s="177"/>
      <c r="CW68" s="177"/>
      <c r="CX68" s="177"/>
      <c r="CY68" s="177"/>
      <c r="CZ68" s="177"/>
      <c r="DA68" s="177"/>
      <c r="DB68" s="177"/>
      <c r="DC68" s="177"/>
      <c r="DD68" s="177"/>
      <c r="DE68" s="177"/>
      <c r="DF68" s="177"/>
      <c r="DG68" s="177"/>
      <c r="DH68" s="177"/>
      <c r="DI68" s="177"/>
      <c r="DJ68" s="177"/>
      <c r="DK68" s="177"/>
      <c r="DL68" s="177"/>
      <c r="DM68" s="177"/>
      <c r="DN68" s="177"/>
      <c r="DO68" s="1"/>
      <c r="DP68" s="1"/>
      <c r="DQ68" s="1"/>
      <c r="DR68" s="1"/>
      <c r="DS68" s="1"/>
      <c r="DT68" s="1"/>
      <c r="DU68" s="1"/>
      <c r="DV68" s="1"/>
      <c r="DW68" s="1"/>
      <c r="DX68" s="1"/>
      <c r="DY68" s="1"/>
      <c r="DZ68" s="1"/>
      <c r="EA68" s="1"/>
      <c r="EB68" s="1"/>
      <c r="EC68" s="1"/>
      <c r="ED68" s="1"/>
      <c r="EE68" s="1"/>
      <c r="EF68" s="1"/>
      <c r="EG68" s="1"/>
      <c r="EH68" s="1"/>
    </row>
    <row r="69" spans="1:138">
      <c r="A69" s="177"/>
      <c r="B69" s="306" t="s">
        <v>663</v>
      </c>
      <c r="C69" s="307" t="s">
        <v>654</v>
      </c>
      <c r="D69" s="312">
        <v>0</v>
      </c>
      <c r="E69" s="312">
        <v>640000</v>
      </c>
      <c r="F69" s="312">
        <v>32000</v>
      </c>
      <c r="G69" s="312">
        <v>290000</v>
      </c>
      <c r="H69" s="312">
        <v>24000</v>
      </c>
      <c r="I69" s="313">
        <v>290000</v>
      </c>
      <c r="J69" s="177"/>
      <c r="K69" s="177"/>
      <c r="L69" s="307" t="s">
        <v>663</v>
      </c>
      <c r="M69" s="307" t="s">
        <v>654</v>
      </c>
      <c r="N69" s="570">
        <v>0</v>
      </c>
      <c r="O69" s="570">
        <v>400</v>
      </c>
      <c r="P69" s="570">
        <v>80</v>
      </c>
      <c r="Q69" s="570">
        <v>400</v>
      </c>
      <c r="R69" s="570">
        <v>550</v>
      </c>
      <c r="S69" s="570">
        <v>400</v>
      </c>
      <c r="T69" s="343">
        <v>1000</v>
      </c>
      <c r="U69" s="177"/>
      <c r="V69" s="307" t="s">
        <v>663</v>
      </c>
      <c r="W69" s="307" t="s">
        <v>654</v>
      </c>
      <c r="X69" s="591">
        <v>0</v>
      </c>
      <c r="Y69" s="592">
        <v>63</v>
      </c>
      <c r="Z69" s="591">
        <v>7</v>
      </c>
      <c r="AA69" s="591">
        <v>57</v>
      </c>
      <c r="AB69" s="591">
        <v>63</v>
      </c>
      <c r="AC69" s="591">
        <v>63</v>
      </c>
      <c r="AD69" s="580">
        <v>57</v>
      </c>
      <c r="AE69" s="593">
        <v>8.6</v>
      </c>
      <c r="AF69" s="177"/>
      <c r="AG69" s="307" t="s">
        <v>663</v>
      </c>
      <c r="AH69" s="307" t="s">
        <v>654</v>
      </c>
      <c r="AI69" s="312">
        <v>0</v>
      </c>
      <c r="AJ69" s="312">
        <v>4</v>
      </c>
      <c r="AK69" s="312">
        <v>2</v>
      </c>
      <c r="AL69" s="312">
        <v>4</v>
      </c>
      <c r="AM69" s="312">
        <v>5</v>
      </c>
      <c r="AN69" s="312">
        <v>4</v>
      </c>
      <c r="AO69" s="312"/>
      <c r="AP69" s="312"/>
      <c r="AQ69" s="177"/>
      <c r="AR69" s="307" t="s">
        <v>663</v>
      </c>
      <c r="AS69" s="307" t="s">
        <v>654</v>
      </c>
      <c r="AT69" s="312" t="s">
        <v>674</v>
      </c>
      <c r="AU69" s="565" t="s">
        <v>15</v>
      </c>
      <c r="AV69" s="312" t="s">
        <v>674</v>
      </c>
      <c r="AW69" s="565" t="s">
        <v>15</v>
      </c>
      <c r="AX69" s="565" t="s">
        <v>15</v>
      </c>
      <c r="AY69" s="565" t="s">
        <v>15</v>
      </c>
      <c r="AZ69" s="565"/>
      <c r="BA69" s="565"/>
      <c r="BB69" s="177"/>
      <c r="BC69" s="177"/>
      <c r="BD69" s="177"/>
      <c r="BE69" s="177"/>
      <c r="BF69" s="177"/>
      <c r="BG69" s="177"/>
      <c r="BH69" s="177"/>
      <c r="BI69" s="177"/>
      <c r="BJ69" s="177"/>
      <c r="BK69" s="177"/>
      <c r="BL69" s="177"/>
      <c r="BM69" s="177"/>
      <c r="BN69" s="177"/>
      <c r="BO69" s="177"/>
      <c r="BP69" s="177"/>
      <c r="BQ69" s="177"/>
      <c r="BR69" s="177"/>
      <c r="BS69" s="177"/>
      <c r="BT69" s="177"/>
      <c r="BU69" s="177"/>
      <c r="BV69" s="177"/>
      <c r="BW69" s="177"/>
      <c r="BX69" s="177"/>
      <c r="BY69" s="177"/>
      <c r="BZ69" s="317" t="s">
        <v>667</v>
      </c>
      <c r="CA69" s="317" t="s">
        <v>654</v>
      </c>
      <c r="CB69" s="201">
        <v>0</v>
      </c>
      <c r="CC69" s="201">
        <v>0</v>
      </c>
      <c r="CD69" s="201">
        <v>0</v>
      </c>
      <c r="CE69" s="216">
        <v>0</v>
      </c>
      <c r="CF69" s="216">
        <v>0</v>
      </c>
      <c r="CG69" s="216">
        <v>0</v>
      </c>
      <c r="CH69" s="177"/>
      <c r="CI69" s="177"/>
      <c r="CJ69" s="177"/>
      <c r="CK69" s="177"/>
      <c r="CL69" s="177"/>
      <c r="CM69" s="177"/>
      <c r="CN69" s="177"/>
      <c r="CO69" s="177"/>
      <c r="CP69" s="177"/>
      <c r="CQ69" s="177"/>
      <c r="CR69" s="177"/>
      <c r="CS69" s="177"/>
      <c r="CT69" s="177"/>
      <c r="CU69" s="177"/>
      <c r="CV69" s="177"/>
      <c r="CW69" s="177"/>
      <c r="CX69" s="177"/>
      <c r="CY69" s="177"/>
      <c r="CZ69" s="177"/>
      <c r="DA69" s="177"/>
      <c r="DB69" s="177"/>
      <c r="DC69" s="177"/>
      <c r="DD69" s="177"/>
      <c r="DE69" s="177"/>
      <c r="DF69" s="177"/>
      <c r="DG69" s="177"/>
      <c r="DH69" s="177"/>
      <c r="DI69" s="177"/>
      <c r="DJ69" s="177"/>
      <c r="DK69" s="177"/>
      <c r="DL69" s="177"/>
      <c r="DM69" s="177"/>
      <c r="DN69" s="177"/>
      <c r="DO69" s="1"/>
      <c r="DP69" s="1"/>
      <c r="DQ69" s="1"/>
      <c r="DR69" s="1"/>
      <c r="DS69" s="1"/>
      <c r="DT69" s="1"/>
      <c r="DU69" s="1"/>
      <c r="DV69" s="1"/>
      <c r="DW69" s="1"/>
      <c r="DX69" s="1"/>
      <c r="DY69" s="1"/>
      <c r="DZ69" s="1"/>
      <c r="EA69" s="1"/>
      <c r="EB69" s="1"/>
      <c r="EC69" s="1"/>
      <c r="ED69" s="1"/>
      <c r="EE69" s="1"/>
      <c r="EF69" s="1"/>
      <c r="EG69" s="1"/>
      <c r="EH69" s="1"/>
    </row>
    <row r="70" spans="1:138">
      <c r="A70" s="177"/>
      <c r="B70" s="306" t="s">
        <v>664</v>
      </c>
      <c r="C70" s="307" t="s">
        <v>654</v>
      </c>
      <c r="D70" s="312">
        <v>0</v>
      </c>
      <c r="E70" s="312">
        <v>640000</v>
      </c>
      <c r="F70" s="312">
        <v>32000</v>
      </c>
      <c r="G70" s="312">
        <v>290000</v>
      </c>
      <c r="H70" s="312">
        <v>24000</v>
      </c>
      <c r="I70" s="313">
        <v>290000</v>
      </c>
      <c r="J70" s="177"/>
      <c r="K70" s="177"/>
      <c r="L70" s="307" t="s">
        <v>664</v>
      </c>
      <c r="M70" s="307" t="s">
        <v>654</v>
      </c>
      <c r="N70" s="570">
        <v>0</v>
      </c>
      <c r="O70" s="570">
        <v>400</v>
      </c>
      <c r="P70" s="570">
        <v>80</v>
      </c>
      <c r="Q70" s="570">
        <v>400</v>
      </c>
      <c r="R70" s="570">
        <v>550</v>
      </c>
      <c r="S70" s="570">
        <v>400</v>
      </c>
      <c r="T70" s="343">
        <v>1000</v>
      </c>
      <c r="U70" s="177"/>
      <c r="V70" s="307" t="s">
        <v>664</v>
      </c>
      <c r="W70" s="307" t="s">
        <v>654</v>
      </c>
      <c r="X70" s="591">
        <v>0</v>
      </c>
      <c r="Y70" s="592">
        <v>63</v>
      </c>
      <c r="Z70" s="591">
        <v>7</v>
      </c>
      <c r="AA70" s="591">
        <v>57</v>
      </c>
      <c r="AB70" s="591">
        <v>63</v>
      </c>
      <c r="AC70" s="591">
        <v>63</v>
      </c>
      <c r="AD70" s="580">
        <v>57</v>
      </c>
      <c r="AE70" s="593">
        <v>8.6</v>
      </c>
      <c r="AF70" s="177"/>
      <c r="AG70" s="307" t="s">
        <v>664</v>
      </c>
      <c r="AH70" s="307" t="s">
        <v>654</v>
      </c>
      <c r="AI70" s="312">
        <v>0</v>
      </c>
      <c r="AJ70" s="312">
        <v>4</v>
      </c>
      <c r="AK70" s="312">
        <v>2</v>
      </c>
      <c r="AL70" s="312">
        <v>4</v>
      </c>
      <c r="AM70" s="312">
        <v>5</v>
      </c>
      <c r="AN70" s="312">
        <v>4</v>
      </c>
      <c r="AO70" s="312"/>
      <c r="AP70" s="312"/>
      <c r="AQ70" s="177"/>
      <c r="AR70" s="307" t="s">
        <v>664</v>
      </c>
      <c r="AS70" s="307" t="s">
        <v>654</v>
      </c>
      <c r="AT70" s="312" t="s">
        <v>674</v>
      </c>
      <c r="AU70" s="565" t="s">
        <v>15</v>
      </c>
      <c r="AV70" s="312" t="s">
        <v>674</v>
      </c>
      <c r="AW70" s="565" t="s">
        <v>15</v>
      </c>
      <c r="AX70" s="565" t="s">
        <v>15</v>
      </c>
      <c r="AY70" s="565" t="s">
        <v>15</v>
      </c>
      <c r="AZ70" s="565"/>
      <c r="BA70" s="565"/>
      <c r="BB70" s="177"/>
      <c r="BC70" s="177"/>
      <c r="BD70" s="177"/>
      <c r="BE70" s="177"/>
      <c r="BF70" s="177"/>
      <c r="BG70" s="177"/>
      <c r="BH70" s="177"/>
      <c r="BI70" s="177"/>
      <c r="BJ70" s="177"/>
      <c r="BK70" s="177"/>
      <c r="BL70" s="177"/>
      <c r="BM70" s="177"/>
      <c r="BN70" s="177"/>
      <c r="BO70" s="177"/>
      <c r="BP70" s="177"/>
      <c r="BQ70" s="177"/>
      <c r="BR70" s="177"/>
      <c r="BS70" s="177"/>
      <c r="BT70" s="177"/>
      <c r="BU70" s="177"/>
      <c r="BV70" s="177"/>
      <c r="BW70" s="177"/>
      <c r="BX70" s="177"/>
      <c r="BY70" s="177"/>
      <c r="BZ70" s="317" t="s">
        <v>668</v>
      </c>
      <c r="CA70" s="317" t="s">
        <v>654</v>
      </c>
      <c r="CB70" s="201">
        <v>0</v>
      </c>
      <c r="CC70" s="201">
        <v>0</v>
      </c>
      <c r="CD70" s="201">
        <v>0</v>
      </c>
      <c r="CE70" s="216">
        <v>0</v>
      </c>
      <c r="CF70" s="216">
        <v>0</v>
      </c>
      <c r="CG70" s="216">
        <v>0</v>
      </c>
      <c r="CH70" s="177"/>
      <c r="CI70" s="177"/>
      <c r="CJ70" s="177"/>
      <c r="CK70" s="177"/>
      <c r="CL70" s="177"/>
      <c r="CM70" s="177"/>
      <c r="CN70" s="177"/>
      <c r="CO70" s="177"/>
      <c r="CP70" s="177"/>
      <c r="CQ70" s="177"/>
      <c r="CR70" s="177"/>
      <c r="CS70" s="177"/>
      <c r="CT70" s="177"/>
      <c r="CU70" s="177"/>
      <c r="CV70" s="177"/>
      <c r="CW70" s="177"/>
      <c r="CX70" s="177"/>
      <c r="CY70" s="177"/>
      <c r="CZ70" s="177"/>
      <c r="DA70" s="177"/>
      <c r="DB70" s="177"/>
      <c r="DC70" s="177"/>
      <c r="DD70" s="177"/>
      <c r="DE70" s="177"/>
      <c r="DF70" s="177"/>
      <c r="DG70" s="177"/>
      <c r="DH70" s="177"/>
      <c r="DI70" s="177"/>
      <c r="DJ70" s="177"/>
      <c r="DK70" s="177"/>
      <c r="DL70" s="177"/>
      <c r="DM70" s="177"/>
      <c r="DN70" s="177"/>
      <c r="DO70" s="1"/>
      <c r="DP70" s="1"/>
      <c r="DQ70" s="1"/>
      <c r="DR70" s="1"/>
      <c r="DS70" s="1"/>
      <c r="DT70" s="1"/>
      <c r="DU70" s="1"/>
      <c r="DV70" s="1"/>
      <c r="DW70" s="1"/>
      <c r="DX70" s="1"/>
      <c r="DY70" s="1"/>
      <c r="DZ70" s="1"/>
      <c r="EA70" s="1"/>
      <c r="EB70" s="1"/>
      <c r="EC70" s="1"/>
      <c r="ED70" s="1"/>
      <c r="EE70" s="1"/>
      <c r="EF70" s="1"/>
      <c r="EG70" s="1"/>
      <c r="EH70" s="1"/>
    </row>
    <row r="71" spans="1:138">
      <c r="A71" s="177"/>
      <c r="B71" s="306" t="s">
        <v>665</v>
      </c>
      <c r="C71" s="307" t="s">
        <v>654</v>
      </c>
      <c r="D71" s="312">
        <v>0</v>
      </c>
      <c r="E71" s="312">
        <v>680000</v>
      </c>
      <c r="F71" s="312">
        <v>34000</v>
      </c>
      <c r="G71" s="312">
        <v>290000</v>
      </c>
      <c r="H71" s="312">
        <v>24000</v>
      </c>
      <c r="I71" s="313">
        <v>290000</v>
      </c>
      <c r="J71" s="177"/>
      <c r="K71" s="177"/>
      <c r="L71" s="307" t="s">
        <v>665</v>
      </c>
      <c r="M71" s="307" t="s">
        <v>654</v>
      </c>
      <c r="N71" s="570">
        <v>0</v>
      </c>
      <c r="O71" s="570">
        <v>400</v>
      </c>
      <c r="P71" s="570">
        <v>80</v>
      </c>
      <c r="Q71" s="570">
        <v>400</v>
      </c>
      <c r="R71" s="570">
        <v>550</v>
      </c>
      <c r="S71" s="570">
        <v>400</v>
      </c>
      <c r="T71" s="343">
        <v>1000</v>
      </c>
      <c r="U71" s="177"/>
      <c r="V71" s="307" t="s">
        <v>665</v>
      </c>
      <c r="W71" s="307" t="s">
        <v>654</v>
      </c>
      <c r="X71" s="591">
        <v>0</v>
      </c>
      <c r="Y71" s="592">
        <v>65</v>
      </c>
      <c r="Z71" s="591">
        <v>8</v>
      </c>
      <c r="AA71" s="591">
        <v>57.5</v>
      </c>
      <c r="AB71" s="591">
        <v>65</v>
      </c>
      <c r="AC71" s="591">
        <v>65</v>
      </c>
      <c r="AD71" s="580">
        <v>57.5</v>
      </c>
      <c r="AE71" s="593">
        <v>8.6</v>
      </c>
      <c r="AF71" s="177"/>
      <c r="AG71" s="307" t="s">
        <v>665</v>
      </c>
      <c r="AH71" s="307" t="s">
        <v>654</v>
      </c>
      <c r="AI71" s="312">
        <v>0</v>
      </c>
      <c r="AJ71" s="312">
        <v>4</v>
      </c>
      <c r="AK71" s="312">
        <v>2</v>
      </c>
      <c r="AL71" s="312">
        <v>4</v>
      </c>
      <c r="AM71" s="312">
        <v>5</v>
      </c>
      <c r="AN71" s="312">
        <v>4</v>
      </c>
      <c r="AO71" s="312"/>
      <c r="AP71" s="312"/>
      <c r="AQ71" s="177"/>
      <c r="AR71" s="307" t="s">
        <v>665</v>
      </c>
      <c r="AS71" s="307" t="s">
        <v>654</v>
      </c>
      <c r="AT71" s="312" t="s">
        <v>674</v>
      </c>
      <c r="AU71" s="565" t="s">
        <v>15</v>
      </c>
      <c r="AV71" s="312" t="s">
        <v>674</v>
      </c>
      <c r="AW71" s="565" t="s">
        <v>15</v>
      </c>
      <c r="AX71" s="565" t="s">
        <v>15</v>
      </c>
      <c r="AY71" s="565" t="s">
        <v>15</v>
      </c>
      <c r="AZ71" s="565"/>
      <c r="BA71" s="565"/>
      <c r="BB71" s="177"/>
      <c r="BC71" s="177"/>
      <c r="BD71" s="177"/>
      <c r="BE71" s="177"/>
      <c r="BF71" s="177"/>
      <c r="BG71" s="177"/>
      <c r="BH71" s="177"/>
      <c r="BI71" s="177"/>
      <c r="BJ71" s="177"/>
      <c r="BK71" s="177"/>
      <c r="BL71" s="177"/>
      <c r="BM71" s="177"/>
      <c r="BN71" s="177"/>
      <c r="BO71" s="177"/>
      <c r="BP71" s="177"/>
      <c r="BQ71" s="177"/>
      <c r="BR71" s="177"/>
      <c r="BS71" s="177"/>
      <c r="BT71" s="177"/>
      <c r="BU71" s="177"/>
      <c r="BV71" s="177"/>
      <c r="BW71" s="177"/>
      <c r="BX71" s="177"/>
      <c r="BY71" s="177"/>
      <c r="BZ71" s="317" t="s">
        <v>669</v>
      </c>
      <c r="CA71" s="317" t="s">
        <v>654</v>
      </c>
      <c r="CB71" s="201">
        <v>0</v>
      </c>
      <c r="CC71" s="201">
        <v>0</v>
      </c>
      <c r="CD71" s="201">
        <v>0</v>
      </c>
      <c r="CE71" s="216">
        <v>0</v>
      </c>
      <c r="CF71" s="216">
        <v>0</v>
      </c>
      <c r="CG71" s="216">
        <v>0</v>
      </c>
      <c r="CH71" s="177"/>
      <c r="CI71" s="177"/>
      <c r="CJ71" s="177"/>
      <c r="CK71" s="177"/>
      <c r="CL71" s="177"/>
      <c r="CM71" s="177"/>
      <c r="CN71" s="177"/>
      <c r="CO71" s="177"/>
      <c r="CP71" s="177"/>
      <c r="CQ71" s="177"/>
      <c r="CR71" s="177"/>
      <c r="CS71" s="177"/>
      <c r="CT71" s="177"/>
      <c r="CU71" s="177"/>
      <c r="CV71" s="177"/>
      <c r="CW71" s="177"/>
      <c r="CX71" s="177"/>
      <c r="CY71" s="177"/>
      <c r="CZ71" s="177"/>
      <c r="DA71" s="177"/>
      <c r="DB71" s="177"/>
      <c r="DC71" s="177"/>
      <c r="DD71" s="177"/>
      <c r="DE71" s="177"/>
      <c r="DF71" s="177"/>
      <c r="DG71" s="177"/>
      <c r="DH71" s="177"/>
      <c r="DI71" s="177"/>
      <c r="DJ71" s="177"/>
      <c r="DK71" s="177"/>
      <c r="DL71" s="177"/>
      <c r="DM71" s="177"/>
      <c r="DN71" s="177"/>
      <c r="DO71" s="1"/>
      <c r="DP71" s="1"/>
      <c r="DQ71" s="1"/>
      <c r="DR71" s="1"/>
      <c r="DS71" s="1"/>
      <c r="DT71" s="1"/>
      <c r="DU71" s="1"/>
      <c r="DV71" s="1"/>
      <c r="DW71" s="1"/>
      <c r="DX71" s="1"/>
      <c r="DY71" s="1"/>
      <c r="DZ71" s="1"/>
      <c r="EA71" s="1"/>
      <c r="EB71" s="1"/>
      <c r="EC71" s="1"/>
      <c r="ED71" s="1"/>
      <c r="EE71" s="1"/>
      <c r="EF71" s="1"/>
      <c r="EG71" s="1"/>
      <c r="EH71" s="1"/>
    </row>
    <row r="72" spans="1:138">
      <c r="A72" s="177"/>
      <c r="B72" s="306" t="s">
        <v>666</v>
      </c>
      <c r="C72" s="307" t="s">
        <v>654</v>
      </c>
      <c r="D72" s="312">
        <v>0</v>
      </c>
      <c r="E72" s="312">
        <v>650000</v>
      </c>
      <c r="F72" s="312">
        <v>32000</v>
      </c>
      <c r="G72" s="312">
        <v>290000</v>
      </c>
      <c r="H72" s="312">
        <v>24000</v>
      </c>
      <c r="I72" s="313">
        <v>290000</v>
      </c>
      <c r="J72" s="177"/>
      <c r="K72" s="177"/>
      <c r="L72" s="307" t="s">
        <v>666</v>
      </c>
      <c r="M72" s="307" t="s">
        <v>654</v>
      </c>
      <c r="N72" s="570">
        <v>0</v>
      </c>
      <c r="O72" s="570">
        <v>400</v>
      </c>
      <c r="P72" s="570">
        <v>80</v>
      </c>
      <c r="Q72" s="570">
        <v>400</v>
      </c>
      <c r="R72" s="570">
        <v>550</v>
      </c>
      <c r="S72" s="570">
        <v>400</v>
      </c>
      <c r="T72" s="343">
        <v>1000</v>
      </c>
      <c r="U72" s="177"/>
      <c r="V72" s="307" t="s">
        <v>666</v>
      </c>
      <c r="W72" s="307" t="s">
        <v>654</v>
      </c>
      <c r="X72" s="591">
        <v>0</v>
      </c>
      <c r="Y72" s="592">
        <v>65</v>
      </c>
      <c r="Z72" s="591">
        <v>7</v>
      </c>
      <c r="AA72" s="591">
        <v>57.5</v>
      </c>
      <c r="AB72" s="591">
        <v>65</v>
      </c>
      <c r="AC72" s="591">
        <v>65</v>
      </c>
      <c r="AD72" s="580">
        <v>57.5</v>
      </c>
      <c r="AE72" s="593">
        <v>8.6</v>
      </c>
      <c r="AF72" s="177"/>
      <c r="AG72" s="307" t="s">
        <v>666</v>
      </c>
      <c r="AH72" s="307" t="s">
        <v>654</v>
      </c>
      <c r="AI72" s="312">
        <v>0</v>
      </c>
      <c r="AJ72" s="312">
        <v>4</v>
      </c>
      <c r="AK72" s="312">
        <v>2</v>
      </c>
      <c r="AL72" s="312">
        <v>4</v>
      </c>
      <c r="AM72" s="312">
        <v>5</v>
      </c>
      <c r="AN72" s="312">
        <v>4</v>
      </c>
      <c r="AO72" s="312"/>
      <c r="AP72" s="312"/>
      <c r="AQ72" s="177"/>
      <c r="AR72" s="307" t="s">
        <v>666</v>
      </c>
      <c r="AS72" s="307" t="s">
        <v>654</v>
      </c>
      <c r="AT72" s="312" t="s">
        <v>674</v>
      </c>
      <c r="AU72" s="565" t="s">
        <v>15</v>
      </c>
      <c r="AV72" s="312" t="s">
        <v>674</v>
      </c>
      <c r="AW72" s="565" t="s">
        <v>15</v>
      </c>
      <c r="AX72" s="565" t="s">
        <v>15</v>
      </c>
      <c r="AY72" s="565" t="s">
        <v>15</v>
      </c>
      <c r="AZ72" s="565"/>
      <c r="BA72" s="565"/>
      <c r="BB72" s="177"/>
      <c r="BC72" s="177"/>
      <c r="BD72" s="177"/>
      <c r="BE72" s="177"/>
      <c r="BF72" s="177"/>
      <c r="BG72" s="177"/>
      <c r="BH72" s="177"/>
      <c r="BI72" s="177"/>
      <c r="BJ72" s="177"/>
      <c r="BK72" s="177"/>
      <c r="BL72" s="177"/>
      <c r="BM72" s="177"/>
      <c r="BN72" s="177"/>
      <c r="BO72" s="177"/>
      <c r="BP72" s="177"/>
      <c r="BQ72" s="177"/>
      <c r="BR72" s="177"/>
      <c r="BS72" s="177"/>
      <c r="BT72" s="177"/>
      <c r="BU72" s="177"/>
      <c r="BV72" s="177"/>
      <c r="BW72" s="177"/>
      <c r="BX72" s="177"/>
      <c r="BY72" s="177"/>
      <c r="BZ72" s="317" t="s">
        <v>670</v>
      </c>
      <c r="CA72" s="317" t="s">
        <v>654</v>
      </c>
      <c r="CB72" s="201">
        <v>0</v>
      </c>
      <c r="CC72" s="201">
        <v>0</v>
      </c>
      <c r="CD72" s="201">
        <v>0</v>
      </c>
      <c r="CE72" s="216">
        <v>0</v>
      </c>
      <c r="CF72" s="216">
        <v>0</v>
      </c>
      <c r="CG72" s="216">
        <v>0</v>
      </c>
      <c r="CH72" s="177"/>
      <c r="CI72" s="177"/>
      <c r="CJ72" s="177"/>
      <c r="CK72" s="177"/>
      <c r="CL72" s="177"/>
      <c r="CM72" s="177"/>
      <c r="CN72" s="177"/>
      <c r="CO72" s="177"/>
      <c r="CP72" s="177"/>
      <c r="CQ72" s="177"/>
      <c r="CR72" s="177"/>
      <c r="CS72" s="177"/>
      <c r="CT72" s="177"/>
      <c r="CU72" s="177"/>
      <c r="CV72" s="177"/>
      <c r="CW72" s="177"/>
      <c r="CX72" s="177"/>
      <c r="CY72" s="177"/>
      <c r="CZ72" s="177"/>
      <c r="DA72" s="177"/>
      <c r="DB72" s="177"/>
      <c r="DC72" s="177"/>
      <c r="DD72" s="177"/>
      <c r="DE72" s="177"/>
      <c r="DF72" s="177"/>
      <c r="DG72" s="177"/>
      <c r="DH72" s="177"/>
      <c r="DI72" s="177"/>
      <c r="DJ72" s="177"/>
      <c r="DK72" s="177"/>
      <c r="DL72" s="177"/>
      <c r="DM72" s="177"/>
      <c r="DN72" s="177"/>
      <c r="DO72" s="1"/>
      <c r="DP72" s="1"/>
      <c r="DQ72" s="1"/>
      <c r="DR72" s="1"/>
      <c r="DS72" s="1"/>
      <c r="DT72" s="1"/>
      <c r="DU72" s="1"/>
      <c r="DV72" s="1"/>
      <c r="DW72" s="1"/>
      <c r="DX72" s="1"/>
      <c r="DY72" s="1"/>
      <c r="DZ72" s="1"/>
      <c r="EA72" s="1"/>
      <c r="EB72" s="1"/>
      <c r="EC72" s="1"/>
      <c r="ED72" s="1"/>
      <c r="EE72" s="1"/>
      <c r="EF72" s="1"/>
      <c r="EG72" s="1"/>
      <c r="EH72" s="1"/>
    </row>
    <row r="73" spans="1:138">
      <c r="A73" s="177"/>
      <c r="B73" s="306" t="s">
        <v>667</v>
      </c>
      <c r="C73" s="307" t="s">
        <v>654</v>
      </c>
      <c r="D73" s="312">
        <v>0</v>
      </c>
      <c r="E73" s="312">
        <v>680000</v>
      </c>
      <c r="F73" s="312">
        <v>34000</v>
      </c>
      <c r="G73" s="312">
        <v>290000</v>
      </c>
      <c r="H73" s="312">
        <v>24000</v>
      </c>
      <c r="I73" s="313">
        <v>290000</v>
      </c>
      <c r="J73" s="177"/>
      <c r="K73" s="177"/>
      <c r="L73" s="307" t="s">
        <v>667</v>
      </c>
      <c r="M73" s="307" t="s">
        <v>654</v>
      </c>
      <c r="N73" s="570">
        <v>0</v>
      </c>
      <c r="O73" s="570">
        <v>400</v>
      </c>
      <c r="P73" s="570">
        <v>80</v>
      </c>
      <c r="Q73" s="570">
        <v>400</v>
      </c>
      <c r="R73" s="570">
        <v>550</v>
      </c>
      <c r="S73" s="570">
        <v>400</v>
      </c>
      <c r="T73" s="343">
        <v>1000</v>
      </c>
      <c r="U73" s="177"/>
      <c r="V73" s="307" t="s">
        <v>667</v>
      </c>
      <c r="W73" s="307" t="s">
        <v>654</v>
      </c>
      <c r="X73" s="591">
        <v>0</v>
      </c>
      <c r="Y73" s="592">
        <v>65</v>
      </c>
      <c r="Z73" s="591">
        <v>8</v>
      </c>
      <c r="AA73" s="591">
        <v>57.5</v>
      </c>
      <c r="AB73" s="591">
        <v>65</v>
      </c>
      <c r="AC73" s="591">
        <v>65</v>
      </c>
      <c r="AD73" s="580">
        <v>57.5</v>
      </c>
      <c r="AE73" s="593">
        <v>8.6</v>
      </c>
      <c r="AF73" s="177"/>
      <c r="AG73" s="307" t="s">
        <v>667</v>
      </c>
      <c r="AH73" s="307" t="s">
        <v>654</v>
      </c>
      <c r="AI73" s="312">
        <v>0</v>
      </c>
      <c r="AJ73" s="312">
        <v>4</v>
      </c>
      <c r="AK73" s="312">
        <v>2</v>
      </c>
      <c r="AL73" s="312">
        <v>4</v>
      </c>
      <c r="AM73" s="312">
        <v>5</v>
      </c>
      <c r="AN73" s="312">
        <v>4</v>
      </c>
      <c r="AO73" s="312"/>
      <c r="AP73" s="312"/>
      <c r="AQ73" s="177"/>
      <c r="AR73" s="307" t="s">
        <v>667</v>
      </c>
      <c r="AS73" s="307" t="s">
        <v>654</v>
      </c>
      <c r="AT73" s="312" t="s">
        <v>674</v>
      </c>
      <c r="AU73" s="565" t="s">
        <v>15</v>
      </c>
      <c r="AV73" s="312" t="s">
        <v>674</v>
      </c>
      <c r="AW73" s="565" t="s">
        <v>15</v>
      </c>
      <c r="AX73" s="565" t="s">
        <v>15</v>
      </c>
      <c r="AY73" s="565" t="s">
        <v>15</v>
      </c>
      <c r="AZ73" s="565"/>
      <c r="BA73" s="565"/>
      <c r="BB73" s="177"/>
      <c r="BC73" s="177"/>
      <c r="BD73" s="177"/>
      <c r="BE73" s="177"/>
      <c r="BF73" s="177"/>
      <c r="BG73" s="177"/>
      <c r="BH73" s="177"/>
      <c r="BI73" s="177"/>
      <c r="BJ73" s="177"/>
      <c r="BK73" s="177"/>
      <c r="BL73" s="177"/>
      <c r="BM73" s="177"/>
      <c r="BN73" s="177"/>
      <c r="BO73" s="177"/>
      <c r="BP73" s="177"/>
      <c r="BQ73" s="177"/>
      <c r="BR73" s="177"/>
      <c r="BS73" s="177"/>
      <c r="BT73" s="177"/>
      <c r="BU73" s="177"/>
      <c r="BV73" s="177"/>
      <c r="BW73" s="177"/>
      <c r="BX73" s="177"/>
      <c r="BY73" s="177"/>
      <c r="BZ73" s="317" t="s">
        <v>671</v>
      </c>
      <c r="CA73" s="317" t="s">
        <v>654</v>
      </c>
      <c r="CB73" s="201">
        <v>0</v>
      </c>
      <c r="CC73" s="201">
        <v>0</v>
      </c>
      <c r="CD73" s="201">
        <v>0</v>
      </c>
      <c r="CE73" s="216">
        <v>0</v>
      </c>
      <c r="CF73" s="216">
        <v>0</v>
      </c>
      <c r="CG73" s="216">
        <v>0</v>
      </c>
      <c r="CH73" s="177"/>
      <c r="CI73" s="177"/>
      <c r="CJ73" s="177"/>
      <c r="CK73" s="177"/>
      <c r="CL73" s="177"/>
      <c r="CM73" s="177"/>
      <c r="CN73" s="177"/>
      <c r="CO73" s="177"/>
      <c r="CP73" s="177"/>
      <c r="CQ73" s="177"/>
      <c r="CR73" s="177"/>
      <c r="CS73" s="177"/>
      <c r="CT73" s="177"/>
      <c r="CU73" s="177"/>
      <c r="CV73" s="177"/>
      <c r="CW73" s="177"/>
      <c r="CX73" s="177"/>
      <c r="CY73" s="177"/>
      <c r="CZ73" s="177"/>
      <c r="DA73" s="177"/>
      <c r="DB73" s="177"/>
      <c r="DC73" s="177"/>
      <c r="DD73" s="177"/>
      <c r="DE73" s="177"/>
      <c r="DF73" s="177"/>
      <c r="DG73" s="177"/>
      <c r="DH73" s="177"/>
      <c r="DI73" s="177"/>
      <c r="DJ73" s="177"/>
      <c r="DK73" s="177"/>
      <c r="DL73" s="177"/>
      <c r="DM73" s="177"/>
      <c r="DN73" s="177"/>
      <c r="DO73" s="1"/>
      <c r="DP73" s="1"/>
      <c r="DQ73" s="1"/>
      <c r="DR73" s="1"/>
      <c r="DS73" s="1"/>
      <c r="DT73" s="1"/>
      <c r="DU73" s="1"/>
      <c r="DV73" s="1"/>
      <c r="DW73" s="1"/>
      <c r="DX73" s="1"/>
      <c r="DY73" s="1"/>
      <c r="DZ73" s="1"/>
      <c r="EA73" s="1"/>
      <c r="EB73" s="1"/>
      <c r="EC73" s="1"/>
      <c r="ED73" s="1"/>
      <c r="EE73" s="1"/>
      <c r="EF73" s="1"/>
      <c r="EG73" s="1"/>
      <c r="EH73" s="1"/>
    </row>
    <row r="74" spans="1:138">
      <c r="A74" s="177"/>
      <c r="B74" s="306" t="s">
        <v>668</v>
      </c>
      <c r="C74" s="307" t="s">
        <v>654</v>
      </c>
      <c r="D74" s="312">
        <v>0</v>
      </c>
      <c r="E74" s="312">
        <v>680000</v>
      </c>
      <c r="F74" s="312">
        <v>34000</v>
      </c>
      <c r="G74" s="312">
        <v>290000</v>
      </c>
      <c r="H74" s="312">
        <v>24000</v>
      </c>
      <c r="I74" s="313">
        <v>290000</v>
      </c>
      <c r="J74" s="177"/>
      <c r="K74" s="177"/>
      <c r="L74" s="307" t="s">
        <v>668</v>
      </c>
      <c r="M74" s="307" t="s">
        <v>654</v>
      </c>
      <c r="N74" s="570">
        <v>0</v>
      </c>
      <c r="O74" s="570">
        <v>400</v>
      </c>
      <c r="P74" s="570">
        <v>80</v>
      </c>
      <c r="Q74" s="570">
        <v>400</v>
      </c>
      <c r="R74" s="570">
        <v>550</v>
      </c>
      <c r="S74" s="570">
        <v>400</v>
      </c>
      <c r="T74" s="343">
        <v>1000</v>
      </c>
      <c r="U74" s="177"/>
      <c r="V74" s="307" t="s">
        <v>668</v>
      </c>
      <c r="W74" s="307" t="s">
        <v>654</v>
      </c>
      <c r="X74" s="591">
        <v>0</v>
      </c>
      <c r="Y74" s="592">
        <v>66</v>
      </c>
      <c r="Z74" s="591">
        <v>8</v>
      </c>
      <c r="AA74" s="591">
        <v>63</v>
      </c>
      <c r="AB74" s="591">
        <v>66</v>
      </c>
      <c r="AC74" s="591">
        <v>66</v>
      </c>
      <c r="AD74" s="580">
        <v>63</v>
      </c>
      <c r="AE74" s="593">
        <v>10.199999999999999</v>
      </c>
      <c r="AF74" s="177"/>
      <c r="AG74" s="307" t="s">
        <v>668</v>
      </c>
      <c r="AH74" s="307" t="s">
        <v>654</v>
      </c>
      <c r="AI74" s="312">
        <v>0</v>
      </c>
      <c r="AJ74" s="312">
        <v>4</v>
      </c>
      <c r="AK74" s="312">
        <v>2</v>
      </c>
      <c r="AL74" s="312">
        <v>4</v>
      </c>
      <c r="AM74" s="312">
        <v>5</v>
      </c>
      <c r="AN74" s="312">
        <v>4</v>
      </c>
      <c r="AO74" s="312"/>
      <c r="AP74" s="312"/>
      <c r="AQ74" s="177"/>
      <c r="AR74" s="307" t="s">
        <v>668</v>
      </c>
      <c r="AS74" s="307" t="s">
        <v>654</v>
      </c>
      <c r="AT74" s="312" t="s">
        <v>674</v>
      </c>
      <c r="AU74" s="565" t="s">
        <v>15</v>
      </c>
      <c r="AV74" s="312" t="s">
        <v>674</v>
      </c>
      <c r="AW74" s="565" t="s">
        <v>15</v>
      </c>
      <c r="AX74" s="565" t="s">
        <v>15</v>
      </c>
      <c r="AY74" s="565" t="s">
        <v>15</v>
      </c>
      <c r="AZ74" s="565"/>
      <c r="BA74" s="565"/>
      <c r="BB74" s="177"/>
      <c r="BC74" s="177"/>
      <c r="BD74" s="177"/>
      <c r="BE74" s="177"/>
      <c r="BF74" s="177"/>
      <c r="BG74" s="177"/>
      <c r="BH74" s="177"/>
      <c r="BI74" s="177"/>
      <c r="BJ74" s="177"/>
      <c r="BK74" s="177"/>
      <c r="BL74" s="177"/>
      <c r="BM74" s="177"/>
      <c r="BN74" s="177"/>
      <c r="BO74" s="177"/>
      <c r="BP74" s="177"/>
      <c r="BQ74" s="177"/>
      <c r="BR74" s="177"/>
      <c r="BS74" s="177"/>
      <c r="BT74" s="177"/>
      <c r="BU74" s="177"/>
      <c r="BV74" s="177"/>
      <c r="BW74" s="177"/>
      <c r="BX74" s="177"/>
      <c r="BY74" s="177"/>
      <c r="BZ74" s="317" t="s">
        <v>672</v>
      </c>
      <c r="CA74" s="317" t="s">
        <v>654</v>
      </c>
      <c r="CB74" s="201">
        <v>0</v>
      </c>
      <c r="CC74" s="201">
        <v>0</v>
      </c>
      <c r="CD74" s="201">
        <v>0</v>
      </c>
      <c r="CE74" s="216">
        <v>0</v>
      </c>
      <c r="CF74" s="216">
        <v>0</v>
      </c>
      <c r="CG74" s="216">
        <v>0</v>
      </c>
      <c r="CH74" s="177"/>
      <c r="CI74" s="177"/>
      <c r="CJ74" s="177"/>
      <c r="CK74" s="177"/>
      <c r="CL74" s="177"/>
      <c r="CM74" s="177"/>
      <c r="CN74" s="177"/>
      <c r="CO74" s="177"/>
      <c r="CP74" s="177"/>
      <c r="CQ74" s="177"/>
      <c r="CR74" s="177"/>
      <c r="CS74" s="177"/>
      <c r="CT74" s="177"/>
      <c r="CU74" s="177"/>
      <c r="CV74" s="177"/>
      <c r="CW74" s="177"/>
      <c r="CX74" s="177"/>
      <c r="CY74" s="177"/>
      <c r="CZ74" s="177"/>
      <c r="DA74" s="177"/>
      <c r="DB74" s="177"/>
      <c r="DC74" s="177"/>
      <c r="DD74" s="177"/>
      <c r="DE74" s="177"/>
      <c r="DF74" s="177"/>
      <c r="DG74" s="177"/>
      <c r="DH74" s="177"/>
      <c r="DI74" s="177"/>
      <c r="DJ74" s="177"/>
      <c r="DK74" s="177"/>
      <c r="DL74" s="177"/>
      <c r="DM74" s="177"/>
      <c r="DN74" s="177"/>
      <c r="DO74" s="1"/>
      <c r="DP74" s="1"/>
      <c r="DQ74" s="1"/>
      <c r="DR74" s="1"/>
      <c r="DS74" s="1"/>
      <c r="DT74" s="1"/>
      <c r="DU74" s="1"/>
      <c r="DV74" s="1"/>
      <c r="DW74" s="1"/>
      <c r="DX74" s="1"/>
      <c r="DY74" s="1"/>
      <c r="DZ74" s="1"/>
      <c r="EA74" s="1"/>
      <c r="EB74" s="1"/>
      <c r="EC74" s="1"/>
      <c r="ED74" s="1"/>
      <c r="EE74" s="1"/>
      <c r="EF74" s="1"/>
      <c r="EG74" s="1"/>
      <c r="EH74" s="1"/>
    </row>
    <row r="75" spans="1:138">
      <c r="A75" s="177"/>
      <c r="B75" s="306" t="s">
        <v>669</v>
      </c>
      <c r="C75" s="307" t="s">
        <v>654</v>
      </c>
      <c r="D75" s="312">
        <v>0</v>
      </c>
      <c r="E75" s="312">
        <v>750000</v>
      </c>
      <c r="F75" s="312">
        <v>36000</v>
      </c>
      <c r="G75" s="312">
        <v>350000</v>
      </c>
      <c r="H75" s="312">
        <v>32000</v>
      </c>
      <c r="I75" s="313">
        <v>350000</v>
      </c>
      <c r="J75" s="177"/>
      <c r="K75" s="177"/>
      <c r="L75" s="307" t="s">
        <v>669</v>
      </c>
      <c r="M75" s="307" t="s">
        <v>654</v>
      </c>
      <c r="N75" s="570">
        <v>0</v>
      </c>
      <c r="O75" s="570">
        <v>500</v>
      </c>
      <c r="P75" s="570">
        <v>80</v>
      </c>
      <c r="Q75" s="570">
        <v>500</v>
      </c>
      <c r="R75" s="570">
        <v>700</v>
      </c>
      <c r="S75" s="570">
        <v>500</v>
      </c>
      <c r="T75" s="343">
        <v>1000</v>
      </c>
      <c r="U75" s="177"/>
      <c r="V75" s="307" t="s">
        <v>669</v>
      </c>
      <c r="W75" s="307" t="s">
        <v>654</v>
      </c>
      <c r="X75" s="591">
        <v>0</v>
      </c>
      <c r="Y75" s="592">
        <v>88</v>
      </c>
      <c r="Z75" s="591">
        <v>8</v>
      </c>
      <c r="AA75" s="591">
        <v>55</v>
      </c>
      <c r="AB75" s="591">
        <v>88</v>
      </c>
      <c r="AC75" s="591">
        <v>88</v>
      </c>
      <c r="AD75" s="580">
        <v>118</v>
      </c>
      <c r="AE75" s="593">
        <v>21</v>
      </c>
      <c r="AF75" s="177"/>
      <c r="AG75" s="307" t="s">
        <v>669</v>
      </c>
      <c r="AH75" s="307" t="s">
        <v>654</v>
      </c>
      <c r="AI75" s="312">
        <v>0</v>
      </c>
      <c r="AJ75" s="312">
        <v>5</v>
      </c>
      <c r="AK75" s="312">
        <v>2</v>
      </c>
      <c r="AL75" s="312">
        <v>5</v>
      </c>
      <c r="AM75" s="312">
        <v>6</v>
      </c>
      <c r="AN75" s="312">
        <v>5</v>
      </c>
      <c r="AO75" s="312"/>
      <c r="AP75" s="312"/>
      <c r="AQ75" s="177"/>
      <c r="AR75" s="307" t="s">
        <v>669</v>
      </c>
      <c r="AS75" s="307" t="s">
        <v>654</v>
      </c>
      <c r="AT75" s="312" t="s">
        <v>674</v>
      </c>
      <c r="AU75" s="565" t="s">
        <v>15</v>
      </c>
      <c r="AV75" s="312" t="s">
        <v>674</v>
      </c>
      <c r="AW75" s="565" t="s">
        <v>15</v>
      </c>
      <c r="AX75" s="565" t="s">
        <v>15</v>
      </c>
      <c r="AY75" s="565" t="s">
        <v>15</v>
      </c>
      <c r="AZ75" s="565"/>
      <c r="BA75" s="565"/>
      <c r="BB75" s="177"/>
      <c r="BC75" s="177"/>
      <c r="BD75" s="177"/>
      <c r="BE75" s="177"/>
      <c r="BF75" s="177"/>
      <c r="BG75" s="177"/>
      <c r="BH75" s="177"/>
      <c r="BI75" s="177"/>
      <c r="BJ75" s="177"/>
      <c r="BK75" s="177"/>
      <c r="BL75" s="177"/>
      <c r="BM75" s="177"/>
      <c r="BN75" s="177"/>
      <c r="BO75" s="177"/>
      <c r="BP75" s="177"/>
      <c r="BQ75" s="177"/>
      <c r="BR75" s="177"/>
      <c r="BS75" s="177"/>
      <c r="BT75" s="177"/>
      <c r="BU75" s="177"/>
      <c r="BV75" s="177"/>
      <c r="BW75" s="177"/>
      <c r="BX75" s="177"/>
      <c r="BY75" s="177"/>
      <c r="BZ75" s="318" t="s">
        <v>673</v>
      </c>
      <c r="CA75" s="318" t="s">
        <v>654</v>
      </c>
      <c r="CB75" s="201">
        <v>0</v>
      </c>
      <c r="CC75" s="201">
        <v>0</v>
      </c>
      <c r="CD75" s="201">
        <v>0</v>
      </c>
      <c r="CE75" s="216">
        <v>0</v>
      </c>
      <c r="CF75" s="216">
        <v>0</v>
      </c>
      <c r="CG75" s="216">
        <v>0</v>
      </c>
      <c r="CH75" s="177"/>
      <c r="CI75" s="177"/>
      <c r="CJ75" s="177"/>
      <c r="CK75" s="177"/>
      <c r="CL75" s="177"/>
      <c r="CM75" s="177"/>
      <c r="CN75" s="177"/>
      <c r="CO75" s="177"/>
      <c r="CP75" s="177"/>
      <c r="CQ75" s="177"/>
      <c r="CR75" s="177"/>
      <c r="CS75" s="177"/>
      <c r="CT75" s="177"/>
      <c r="CU75" s="177"/>
      <c r="CV75" s="177"/>
      <c r="CW75" s="177"/>
      <c r="CX75" s="177"/>
      <c r="CY75" s="177"/>
      <c r="CZ75" s="177"/>
      <c r="DA75" s="177"/>
      <c r="DB75" s="177"/>
      <c r="DC75" s="177"/>
      <c r="DD75" s="177"/>
      <c r="DE75" s="177"/>
      <c r="DF75" s="177"/>
      <c r="DG75" s="177"/>
      <c r="DH75" s="177"/>
      <c r="DI75" s="177"/>
      <c r="DJ75" s="177"/>
      <c r="DK75" s="177"/>
      <c r="DL75" s="177"/>
      <c r="DM75" s="177"/>
      <c r="DN75" s="177"/>
      <c r="DO75" s="1"/>
      <c r="DP75" s="1"/>
      <c r="DQ75" s="1"/>
      <c r="DR75" s="1"/>
      <c r="DS75" s="1"/>
      <c r="DT75" s="1"/>
      <c r="DU75" s="1"/>
      <c r="DV75" s="1"/>
      <c r="DW75" s="1"/>
      <c r="DX75" s="1"/>
      <c r="DY75" s="1"/>
      <c r="DZ75" s="1"/>
      <c r="EA75" s="1"/>
      <c r="EB75" s="1"/>
      <c r="EC75" s="1"/>
      <c r="ED75" s="1"/>
      <c r="EE75" s="1"/>
      <c r="EF75" s="1"/>
      <c r="EG75" s="1"/>
      <c r="EH75" s="1"/>
    </row>
    <row r="76" spans="1:138">
      <c r="A76" s="177"/>
      <c r="B76" s="306" t="s">
        <v>670</v>
      </c>
      <c r="C76" s="307" t="s">
        <v>654</v>
      </c>
      <c r="D76" s="312">
        <v>0</v>
      </c>
      <c r="E76" s="312">
        <v>750000</v>
      </c>
      <c r="F76" s="312">
        <v>36000</v>
      </c>
      <c r="G76" s="312">
        <v>350000</v>
      </c>
      <c r="H76" s="312">
        <v>32000</v>
      </c>
      <c r="I76" s="313">
        <v>350000</v>
      </c>
      <c r="J76" s="177"/>
      <c r="K76" s="177"/>
      <c r="L76" s="307" t="s">
        <v>670</v>
      </c>
      <c r="M76" s="307" t="s">
        <v>654</v>
      </c>
      <c r="N76" s="570">
        <v>0</v>
      </c>
      <c r="O76" s="570">
        <v>500</v>
      </c>
      <c r="P76" s="570">
        <v>80</v>
      </c>
      <c r="Q76" s="570">
        <v>500</v>
      </c>
      <c r="R76" s="570">
        <v>700</v>
      </c>
      <c r="S76" s="570">
        <v>500</v>
      </c>
      <c r="T76" s="343">
        <v>1000</v>
      </c>
      <c r="U76" s="177"/>
      <c r="V76" s="307" t="s">
        <v>670</v>
      </c>
      <c r="W76" s="307" t="s">
        <v>654</v>
      </c>
      <c r="X76" s="591">
        <v>0</v>
      </c>
      <c r="Y76" s="592">
        <v>91</v>
      </c>
      <c r="Z76" s="591">
        <v>8</v>
      </c>
      <c r="AA76" s="591">
        <v>59</v>
      </c>
      <c r="AB76" s="591">
        <v>91</v>
      </c>
      <c r="AC76" s="591">
        <v>91</v>
      </c>
      <c r="AD76" s="580">
        <v>109</v>
      </c>
      <c r="AE76" s="593">
        <v>17</v>
      </c>
      <c r="AF76" s="177"/>
      <c r="AG76" s="307" t="s">
        <v>670</v>
      </c>
      <c r="AH76" s="307" t="s">
        <v>654</v>
      </c>
      <c r="AI76" s="312">
        <v>0</v>
      </c>
      <c r="AJ76" s="312">
        <v>5</v>
      </c>
      <c r="AK76" s="312">
        <v>2</v>
      </c>
      <c r="AL76" s="312">
        <v>5</v>
      </c>
      <c r="AM76" s="312">
        <v>6</v>
      </c>
      <c r="AN76" s="312">
        <v>5</v>
      </c>
      <c r="AO76" s="312"/>
      <c r="AP76" s="312"/>
      <c r="AQ76" s="177"/>
      <c r="AR76" s="307" t="s">
        <v>670</v>
      </c>
      <c r="AS76" s="307" t="s">
        <v>654</v>
      </c>
      <c r="AT76" s="312" t="s">
        <v>674</v>
      </c>
      <c r="AU76" s="565" t="s">
        <v>15</v>
      </c>
      <c r="AV76" s="312" t="s">
        <v>674</v>
      </c>
      <c r="AW76" s="565" t="s">
        <v>15</v>
      </c>
      <c r="AX76" s="565" t="s">
        <v>15</v>
      </c>
      <c r="AY76" s="565" t="s">
        <v>15</v>
      </c>
      <c r="AZ76" s="565"/>
      <c r="BA76" s="565"/>
      <c r="BB76" s="177"/>
      <c r="BC76" s="177"/>
      <c r="BD76" s="177"/>
      <c r="BE76" s="177"/>
      <c r="BF76" s="177"/>
      <c r="BG76" s="177"/>
      <c r="BH76" s="177"/>
      <c r="BI76" s="177"/>
      <c r="BJ76" s="177"/>
      <c r="BK76" s="177"/>
      <c r="BL76" s="177"/>
      <c r="BM76" s="177"/>
      <c r="BN76" s="177"/>
      <c r="BO76" s="177"/>
      <c r="BP76" s="177"/>
      <c r="BQ76" s="177"/>
      <c r="BR76" s="177"/>
      <c r="BS76" s="177"/>
      <c r="BT76" s="177"/>
      <c r="BU76" s="177"/>
      <c r="BV76" s="177"/>
      <c r="BW76" s="177"/>
      <c r="BX76" s="177"/>
      <c r="BY76" s="177"/>
      <c r="BZ76" s="177"/>
      <c r="CA76" s="177"/>
      <c r="CB76" s="177"/>
      <c r="CC76" s="177"/>
      <c r="CD76" s="177"/>
      <c r="CE76" s="177"/>
      <c r="CF76" s="177"/>
      <c r="CG76" s="177"/>
      <c r="CH76" s="177"/>
      <c r="CI76" s="177"/>
      <c r="CJ76" s="177"/>
      <c r="CK76" s="177"/>
      <c r="CL76" s="177"/>
      <c r="CM76" s="177"/>
      <c r="CN76" s="177"/>
      <c r="CO76" s="177"/>
      <c r="CP76" s="177"/>
      <c r="CQ76" s="177"/>
      <c r="CR76" s="177"/>
      <c r="CS76" s="177"/>
      <c r="CT76" s="177"/>
      <c r="CU76" s="177"/>
      <c r="CV76" s="177"/>
      <c r="CW76" s="177"/>
      <c r="CX76" s="177"/>
      <c r="CY76" s="177"/>
      <c r="CZ76" s="177"/>
      <c r="DA76" s="177"/>
      <c r="DB76" s="177"/>
      <c r="DC76" s="177"/>
      <c r="DD76" s="177"/>
      <c r="DE76" s="177"/>
      <c r="DF76" s="177"/>
      <c r="DG76" s="177"/>
      <c r="DH76" s="177"/>
      <c r="DI76" s="177"/>
      <c r="DJ76" s="177"/>
      <c r="DK76" s="177"/>
      <c r="DL76" s="177"/>
      <c r="DM76" s="177"/>
      <c r="DN76" s="177"/>
      <c r="DO76" s="1"/>
      <c r="DP76" s="1"/>
      <c r="DQ76" s="1"/>
      <c r="DR76" s="1"/>
      <c r="DS76" s="1"/>
      <c r="DT76" s="1"/>
      <c r="DU76" s="1"/>
      <c r="DV76" s="1"/>
      <c r="DW76" s="1"/>
      <c r="DX76" s="1"/>
      <c r="DY76" s="1"/>
      <c r="DZ76" s="1"/>
      <c r="EA76" s="1"/>
      <c r="EB76" s="1"/>
      <c r="EC76" s="1"/>
      <c r="ED76" s="1"/>
      <c r="EE76" s="1"/>
      <c r="EF76" s="1"/>
      <c r="EG76" s="1"/>
      <c r="EH76" s="1"/>
    </row>
    <row r="77" spans="1:138">
      <c r="A77" s="177"/>
      <c r="B77" s="306" t="s">
        <v>671</v>
      </c>
      <c r="C77" s="307" t="s">
        <v>654</v>
      </c>
      <c r="D77" s="312">
        <v>0</v>
      </c>
      <c r="E77" s="312">
        <v>750000</v>
      </c>
      <c r="F77" s="312">
        <v>38000</v>
      </c>
      <c r="G77" s="312">
        <v>350000</v>
      </c>
      <c r="H77" s="312">
        <v>32000</v>
      </c>
      <c r="I77" s="313">
        <v>350000</v>
      </c>
      <c r="J77" s="177"/>
      <c r="K77" s="177"/>
      <c r="L77" s="307" t="s">
        <v>671</v>
      </c>
      <c r="M77" s="307" t="s">
        <v>654</v>
      </c>
      <c r="N77" s="570">
        <v>0</v>
      </c>
      <c r="O77" s="570">
        <v>500</v>
      </c>
      <c r="P77" s="570">
        <v>80</v>
      </c>
      <c r="Q77" s="570">
        <v>500</v>
      </c>
      <c r="R77" s="570">
        <v>700</v>
      </c>
      <c r="S77" s="570">
        <v>500</v>
      </c>
      <c r="T77" s="343">
        <v>1000</v>
      </c>
      <c r="U77" s="177"/>
      <c r="V77" s="307" t="s">
        <v>671</v>
      </c>
      <c r="W77" s="307" t="s">
        <v>654</v>
      </c>
      <c r="X77" s="591">
        <v>0</v>
      </c>
      <c r="Y77" s="592">
        <v>91</v>
      </c>
      <c r="Z77" s="591">
        <v>8</v>
      </c>
      <c r="AA77" s="591">
        <v>59</v>
      </c>
      <c r="AB77" s="591">
        <v>91</v>
      </c>
      <c r="AC77" s="591">
        <v>91</v>
      </c>
      <c r="AD77" s="580">
        <v>109</v>
      </c>
      <c r="AE77" s="593">
        <v>17</v>
      </c>
      <c r="AF77" s="177"/>
      <c r="AG77" s="307" t="s">
        <v>671</v>
      </c>
      <c r="AH77" s="307" t="s">
        <v>654</v>
      </c>
      <c r="AI77" s="312">
        <v>0</v>
      </c>
      <c r="AJ77" s="312">
        <v>5</v>
      </c>
      <c r="AK77" s="312">
        <v>2</v>
      </c>
      <c r="AL77" s="312">
        <v>5</v>
      </c>
      <c r="AM77" s="312">
        <v>6</v>
      </c>
      <c r="AN77" s="312">
        <v>5</v>
      </c>
      <c r="AO77" s="312"/>
      <c r="AP77" s="312"/>
      <c r="AQ77" s="177"/>
      <c r="AR77" s="307" t="s">
        <v>671</v>
      </c>
      <c r="AS77" s="307" t="s">
        <v>654</v>
      </c>
      <c r="AT77" s="312" t="s">
        <v>674</v>
      </c>
      <c r="AU77" s="565" t="s">
        <v>15</v>
      </c>
      <c r="AV77" s="312" t="s">
        <v>674</v>
      </c>
      <c r="AW77" s="565" t="s">
        <v>15</v>
      </c>
      <c r="AX77" s="565" t="s">
        <v>15</v>
      </c>
      <c r="AY77" s="565" t="s">
        <v>15</v>
      </c>
      <c r="AZ77" s="565"/>
      <c r="BA77" s="565"/>
      <c r="BB77" s="177"/>
      <c r="BC77" s="177"/>
      <c r="BD77" s="177"/>
      <c r="BE77" s="177"/>
      <c r="BF77" s="177"/>
      <c r="BG77" s="177"/>
      <c r="BH77" s="177"/>
      <c r="BI77" s="177"/>
      <c r="BJ77" s="177"/>
      <c r="BK77" s="177"/>
      <c r="BL77" s="177"/>
      <c r="BM77" s="177"/>
      <c r="BN77" s="177"/>
      <c r="BO77" s="177"/>
      <c r="BP77" s="177"/>
      <c r="BQ77" s="177"/>
      <c r="BR77" s="177"/>
      <c r="BS77" s="177"/>
      <c r="BT77" s="177"/>
      <c r="BU77" s="177"/>
      <c r="BV77" s="177"/>
      <c r="BW77" s="177"/>
      <c r="BX77" s="177"/>
      <c r="BY77" s="177"/>
      <c r="BZ77" s="177"/>
      <c r="CA77" s="177"/>
      <c r="CB77" s="177"/>
      <c r="CC77" s="177"/>
      <c r="CD77" s="177"/>
      <c r="CE77" s="177"/>
      <c r="CF77" s="177"/>
      <c r="CG77" s="177"/>
      <c r="CH77" s="177"/>
      <c r="CI77" s="177"/>
      <c r="CJ77" s="177"/>
      <c r="CK77" s="177"/>
      <c r="CL77" s="177"/>
      <c r="CM77" s="177"/>
      <c r="CN77" s="177"/>
      <c r="CO77" s="177"/>
      <c r="CP77" s="177"/>
      <c r="CQ77" s="177"/>
      <c r="CR77" s="177"/>
      <c r="CS77" s="177"/>
      <c r="CT77" s="177"/>
      <c r="CU77" s="177"/>
      <c r="CV77" s="177"/>
      <c r="CW77" s="177"/>
      <c r="CX77" s="177"/>
      <c r="CY77" s="177"/>
      <c r="CZ77" s="177"/>
      <c r="DA77" s="177"/>
      <c r="DB77" s="177"/>
      <c r="DC77" s="177"/>
      <c r="DD77" s="177"/>
      <c r="DE77" s="177"/>
      <c r="DF77" s="177"/>
      <c r="DG77" s="177"/>
      <c r="DH77" s="177"/>
      <c r="DI77" s="177"/>
      <c r="DJ77" s="177"/>
      <c r="DK77" s="177"/>
      <c r="DL77" s="177"/>
      <c r="DM77" s="177"/>
      <c r="DN77" s="177"/>
      <c r="DO77" s="1"/>
      <c r="DP77" s="1"/>
      <c r="DQ77" s="1"/>
      <c r="DR77" s="1"/>
      <c r="DS77" s="1"/>
      <c r="DT77" s="1"/>
      <c r="DU77" s="1"/>
      <c r="DV77" s="1"/>
      <c r="DW77" s="1"/>
      <c r="DX77" s="1"/>
      <c r="DY77" s="1"/>
      <c r="DZ77" s="1"/>
      <c r="EA77" s="1"/>
      <c r="EB77" s="1"/>
      <c r="EC77" s="1"/>
      <c r="ED77" s="1"/>
      <c r="EE77" s="1"/>
      <c r="EF77" s="1"/>
      <c r="EG77" s="1"/>
      <c r="EH77" s="1"/>
    </row>
    <row r="78" spans="1:138">
      <c r="A78" s="177"/>
      <c r="B78" s="306" t="s">
        <v>672</v>
      </c>
      <c r="C78" s="307" t="s">
        <v>654</v>
      </c>
      <c r="D78" s="312">
        <v>0</v>
      </c>
      <c r="E78" s="312">
        <v>750000</v>
      </c>
      <c r="F78" s="312">
        <v>36000</v>
      </c>
      <c r="G78" s="312">
        <v>350000</v>
      </c>
      <c r="H78" s="312">
        <v>32000</v>
      </c>
      <c r="I78" s="313">
        <v>350000</v>
      </c>
      <c r="J78" s="177"/>
      <c r="K78" s="177"/>
      <c r="L78" s="307" t="s">
        <v>672</v>
      </c>
      <c r="M78" s="307" t="s">
        <v>654</v>
      </c>
      <c r="N78" s="570">
        <v>0</v>
      </c>
      <c r="O78" s="570">
        <v>500</v>
      </c>
      <c r="P78" s="570">
        <v>80</v>
      </c>
      <c r="Q78" s="570">
        <v>500</v>
      </c>
      <c r="R78" s="570">
        <v>700</v>
      </c>
      <c r="S78" s="570">
        <v>500</v>
      </c>
      <c r="T78" s="343">
        <v>1000</v>
      </c>
      <c r="U78" s="177"/>
      <c r="V78" s="307" t="s">
        <v>672</v>
      </c>
      <c r="W78" s="307" t="s">
        <v>654</v>
      </c>
      <c r="X78" s="591">
        <v>0</v>
      </c>
      <c r="Y78" s="592">
        <v>85</v>
      </c>
      <c r="Z78" s="591">
        <v>8</v>
      </c>
      <c r="AA78" s="591">
        <v>65</v>
      </c>
      <c r="AB78" s="591">
        <v>85</v>
      </c>
      <c r="AC78" s="591">
        <v>85</v>
      </c>
      <c r="AD78" s="580">
        <v>140</v>
      </c>
      <c r="AE78" s="593">
        <v>25</v>
      </c>
      <c r="AF78" s="177"/>
      <c r="AG78" s="307" t="s">
        <v>672</v>
      </c>
      <c r="AH78" s="307" t="s">
        <v>654</v>
      </c>
      <c r="AI78" s="312">
        <v>0</v>
      </c>
      <c r="AJ78" s="312">
        <v>5</v>
      </c>
      <c r="AK78" s="312">
        <v>2</v>
      </c>
      <c r="AL78" s="312">
        <v>5</v>
      </c>
      <c r="AM78" s="312">
        <v>6</v>
      </c>
      <c r="AN78" s="312">
        <v>5</v>
      </c>
      <c r="AO78" s="312"/>
      <c r="AP78" s="312"/>
      <c r="AQ78" s="177"/>
      <c r="AR78" s="307" t="s">
        <v>672</v>
      </c>
      <c r="AS78" s="307" t="s">
        <v>654</v>
      </c>
      <c r="AT78" s="312" t="s">
        <v>674</v>
      </c>
      <c r="AU78" s="565" t="s">
        <v>15</v>
      </c>
      <c r="AV78" s="312" t="s">
        <v>674</v>
      </c>
      <c r="AW78" s="565" t="s">
        <v>15</v>
      </c>
      <c r="AX78" s="565" t="s">
        <v>15</v>
      </c>
      <c r="AY78" s="565" t="s">
        <v>15</v>
      </c>
      <c r="AZ78" s="565"/>
      <c r="BA78" s="565"/>
      <c r="BB78" s="177"/>
      <c r="BC78" s="177"/>
      <c r="BD78" s="177"/>
      <c r="BE78" s="177"/>
      <c r="BF78" s="177"/>
      <c r="BG78" s="177"/>
      <c r="BH78" s="177"/>
      <c r="BI78" s="177"/>
      <c r="BJ78" s="177"/>
      <c r="BK78" s="177"/>
      <c r="BL78" s="177"/>
      <c r="BM78" s="177"/>
      <c r="BN78" s="177"/>
      <c r="BO78" s="177"/>
      <c r="BP78" s="177"/>
      <c r="BQ78" s="177"/>
      <c r="BR78" s="177"/>
      <c r="BS78" s="177"/>
      <c r="BT78" s="177"/>
      <c r="BU78" s="177"/>
      <c r="BV78" s="177"/>
      <c r="BW78" s="177"/>
      <c r="BX78" s="177"/>
      <c r="BY78" s="177"/>
      <c r="BZ78" s="177"/>
      <c r="CA78" s="177"/>
      <c r="CB78" s="177"/>
      <c r="CC78" s="177"/>
      <c r="CD78" s="177"/>
      <c r="CE78" s="177"/>
      <c r="CF78" s="177"/>
      <c r="CG78" s="177"/>
      <c r="CH78" s="177"/>
      <c r="CI78" s="177"/>
      <c r="CJ78" s="177"/>
      <c r="CK78" s="177"/>
      <c r="CL78" s="177"/>
      <c r="CM78" s="177"/>
      <c r="CN78" s="177"/>
      <c r="CO78" s="177"/>
      <c r="CP78" s="177"/>
      <c r="CQ78" s="177"/>
      <c r="CR78" s="177"/>
      <c r="CS78" s="177"/>
      <c r="CT78" s="177"/>
      <c r="CU78" s="177"/>
      <c r="CV78" s="177"/>
      <c r="CW78" s="177"/>
      <c r="CX78" s="177"/>
      <c r="CY78" s="177"/>
      <c r="CZ78" s="177"/>
      <c r="DA78" s="177"/>
      <c r="DB78" s="177"/>
      <c r="DC78" s="177"/>
      <c r="DD78" s="177"/>
      <c r="DE78" s="177"/>
      <c r="DF78" s="177"/>
      <c r="DG78" s="177"/>
      <c r="DH78" s="177"/>
      <c r="DI78" s="177"/>
      <c r="DJ78" s="177"/>
      <c r="DK78" s="177"/>
      <c r="DL78" s="177"/>
      <c r="DM78" s="177"/>
      <c r="DN78" s="177"/>
      <c r="DO78" s="1"/>
      <c r="DP78" s="1"/>
      <c r="DQ78" s="1"/>
      <c r="DR78" s="1"/>
      <c r="DS78" s="1"/>
      <c r="DT78" s="1"/>
      <c r="DU78" s="1"/>
      <c r="DV78" s="1"/>
      <c r="DW78" s="1"/>
      <c r="DX78" s="1"/>
      <c r="DY78" s="1"/>
      <c r="DZ78" s="1"/>
      <c r="EA78" s="1"/>
      <c r="EB78" s="1"/>
      <c r="EC78" s="1"/>
      <c r="ED78" s="1"/>
      <c r="EE78" s="1"/>
      <c r="EF78" s="1"/>
      <c r="EG78" s="1"/>
      <c r="EH78" s="1"/>
    </row>
    <row r="79" spans="1:138">
      <c r="A79" s="177"/>
      <c r="B79" s="310" t="s">
        <v>673</v>
      </c>
      <c r="C79" s="311" t="s">
        <v>654</v>
      </c>
      <c r="D79" s="314">
        <v>0</v>
      </c>
      <c r="E79" s="314">
        <v>750000</v>
      </c>
      <c r="F79" s="314">
        <v>38000</v>
      </c>
      <c r="G79" s="314">
        <v>350000</v>
      </c>
      <c r="H79" s="314">
        <v>32000</v>
      </c>
      <c r="I79" s="315">
        <v>350000</v>
      </c>
      <c r="J79" s="177"/>
      <c r="K79" s="177"/>
      <c r="L79" s="311" t="s">
        <v>673</v>
      </c>
      <c r="M79" s="311" t="s">
        <v>654</v>
      </c>
      <c r="N79" s="571">
        <v>0</v>
      </c>
      <c r="O79" s="571">
        <v>500</v>
      </c>
      <c r="P79" s="571">
        <v>80</v>
      </c>
      <c r="Q79" s="571">
        <v>500</v>
      </c>
      <c r="R79" s="571">
        <v>700</v>
      </c>
      <c r="S79" s="571">
        <v>500</v>
      </c>
      <c r="T79" s="343">
        <v>1000</v>
      </c>
      <c r="U79" s="177"/>
      <c r="V79" s="311" t="s">
        <v>673</v>
      </c>
      <c r="W79" s="311" t="s">
        <v>654</v>
      </c>
      <c r="X79" s="591">
        <v>0</v>
      </c>
      <c r="Y79" s="594">
        <v>85</v>
      </c>
      <c r="Z79" s="591">
        <v>8</v>
      </c>
      <c r="AA79" s="591">
        <v>65</v>
      </c>
      <c r="AB79" s="591">
        <v>85</v>
      </c>
      <c r="AC79" s="591">
        <v>85</v>
      </c>
      <c r="AD79" s="580">
        <v>140</v>
      </c>
      <c r="AE79" s="593">
        <v>25</v>
      </c>
      <c r="AF79" s="177"/>
      <c r="AG79" s="311" t="s">
        <v>673</v>
      </c>
      <c r="AH79" s="311" t="s">
        <v>654</v>
      </c>
      <c r="AI79" s="314">
        <v>0</v>
      </c>
      <c r="AJ79" s="314">
        <v>5</v>
      </c>
      <c r="AK79" s="314">
        <v>2</v>
      </c>
      <c r="AL79" s="314">
        <v>5</v>
      </c>
      <c r="AM79" s="314">
        <v>6</v>
      </c>
      <c r="AN79" s="314">
        <v>5</v>
      </c>
      <c r="AO79" s="314"/>
      <c r="AP79" s="314"/>
      <c r="AQ79" s="177"/>
      <c r="AR79" s="311" t="s">
        <v>673</v>
      </c>
      <c r="AS79" s="311" t="s">
        <v>654</v>
      </c>
      <c r="AT79" s="314" t="s">
        <v>674</v>
      </c>
      <c r="AU79" s="565" t="s">
        <v>15</v>
      </c>
      <c r="AV79" s="314" t="s">
        <v>674</v>
      </c>
      <c r="AW79" s="565" t="s">
        <v>15</v>
      </c>
      <c r="AX79" s="565" t="s">
        <v>15</v>
      </c>
      <c r="AY79" s="565" t="s">
        <v>15</v>
      </c>
      <c r="AZ79" s="565"/>
      <c r="BA79" s="565"/>
      <c r="BB79" s="177"/>
      <c r="BC79" s="177"/>
      <c r="BD79" s="177"/>
      <c r="BE79" s="177"/>
      <c r="BF79" s="177"/>
      <c r="BG79" s="177"/>
      <c r="BH79" s="177"/>
      <c r="BI79" s="177"/>
      <c r="BJ79" s="177"/>
      <c r="BK79" s="177"/>
      <c r="BL79" s="177"/>
      <c r="BM79" s="177"/>
      <c r="BN79" s="177"/>
      <c r="BO79" s="177"/>
      <c r="BP79" s="177"/>
      <c r="BQ79" s="177"/>
      <c r="BR79" s="177"/>
      <c r="BS79" s="177"/>
      <c r="BT79" s="177"/>
      <c r="BU79" s="177"/>
      <c r="BV79" s="177"/>
      <c r="BW79" s="177"/>
      <c r="BX79" s="177"/>
      <c r="BY79" s="177"/>
      <c r="BZ79" s="177"/>
      <c r="CA79" s="177"/>
      <c r="CB79" s="177"/>
      <c r="CC79" s="177"/>
      <c r="CD79" s="177"/>
      <c r="CE79" s="177"/>
      <c r="CF79" s="177"/>
      <c r="CG79" s="177"/>
      <c r="CH79" s="177"/>
      <c r="CI79" s="177"/>
      <c r="CJ79" s="177"/>
      <c r="CK79" s="177"/>
      <c r="CL79" s="177"/>
      <c r="CM79" s="177"/>
      <c r="CN79" s="177"/>
      <c r="CO79" s="177"/>
      <c r="CP79" s="177"/>
      <c r="CQ79" s="177"/>
      <c r="CR79" s="177"/>
      <c r="CS79" s="177"/>
      <c r="CT79" s="177"/>
      <c r="CU79" s="177"/>
      <c r="CV79" s="177"/>
      <c r="CW79" s="177"/>
      <c r="CX79" s="177"/>
      <c r="CY79" s="177"/>
      <c r="CZ79" s="177"/>
      <c r="DA79" s="177"/>
      <c r="DB79" s="177"/>
      <c r="DC79" s="177"/>
      <c r="DD79" s="177"/>
      <c r="DE79" s="177"/>
      <c r="DF79" s="177"/>
      <c r="DG79" s="177"/>
      <c r="DH79" s="177"/>
      <c r="DI79" s="177"/>
      <c r="DJ79" s="177"/>
      <c r="DK79" s="177"/>
      <c r="DL79" s="177"/>
      <c r="DM79" s="177"/>
      <c r="DN79" s="177"/>
      <c r="DO79" s="1"/>
      <c r="DP79" s="1"/>
      <c r="DQ79" s="1"/>
      <c r="DR79" s="1"/>
      <c r="DS79" s="1"/>
      <c r="DT79" s="1"/>
      <c r="DU79" s="1"/>
      <c r="DV79" s="1"/>
      <c r="DW79" s="1"/>
      <c r="DX79" s="1"/>
      <c r="DY79" s="1"/>
      <c r="DZ79" s="1"/>
      <c r="EA79" s="1"/>
      <c r="EB79" s="1"/>
      <c r="EC79" s="1"/>
      <c r="ED79" s="1"/>
      <c r="EE79" s="1"/>
      <c r="EF79" s="1"/>
      <c r="EG79" s="1"/>
      <c r="EH79" s="1"/>
    </row>
    <row r="80" spans="1:138">
      <c r="A80" s="177"/>
      <c r="B80" s="410" t="s">
        <v>726</v>
      </c>
      <c r="C80" s="179" t="s">
        <v>734</v>
      </c>
      <c r="D80" s="343">
        <v>0</v>
      </c>
      <c r="E80" s="343">
        <v>0</v>
      </c>
      <c r="F80" s="343">
        <v>0</v>
      </c>
      <c r="G80" s="343">
        <v>0</v>
      </c>
      <c r="H80" s="343">
        <v>0</v>
      </c>
      <c r="I80" s="343">
        <v>0</v>
      </c>
      <c r="J80" s="177"/>
      <c r="K80" s="177"/>
      <c r="L80" s="405" t="s">
        <v>726</v>
      </c>
      <c r="M80" s="179" t="s">
        <v>734</v>
      </c>
      <c r="N80" s="570">
        <v>0</v>
      </c>
      <c r="O80" s="570">
        <v>0</v>
      </c>
      <c r="P80" s="570">
        <v>0</v>
      </c>
      <c r="Q80" s="570">
        <v>0</v>
      </c>
      <c r="R80" s="570">
        <v>0</v>
      </c>
      <c r="S80" s="570">
        <v>0</v>
      </c>
      <c r="T80" s="343">
        <v>0</v>
      </c>
      <c r="U80" s="177"/>
      <c r="V80" s="405" t="s">
        <v>726</v>
      </c>
      <c r="W80" s="179" t="s">
        <v>734</v>
      </c>
      <c r="X80" s="343">
        <v>0</v>
      </c>
      <c r="Y80" s="343">
        <v>0</v>
      </c>
      <c r="Z80" s="343">
        <v>0</v>
      </c>
      <c r="AA80" s="343">
        <v>0</v>
      </c>
      <c r="AB80" s="343">
        <v>0</v>
      </c>
      <c r="AC80" s="343">
        <v>0</v>
      </c>
      <c r="AD80" s="343">
        <v>0</v>
      </c>
      <c r="AE80" s="343">
        <v>0</v>
      </c>
      <c r="AF80" s="177"/>
      <c r="AG80" s="405" t="s">
        <v>726</v>
      </c>
      <c r="AH80" s="179" t="s">
        <v>734</v>
      </c>
      <c r="AI80" s="343">
        <v>0</v>
      </c>
      <c r="AJ80" s="343">
        <v>0</v>
      </c>
      <c r="AK80" s="343">
        <v>0</v>
      </c>
      <c r="AL80" s="343">
        <v>0</v>
      </c>
      <c r="AM80" s="343">
        <v>0</v>
      </c>
      <c r="AN80" s="343">
        <v>0</v>
      </c>
      <c r="AO80" s="343">
        <v>0</v>
      </c>
      <c r="AP80" s="343">
        <v>0</v>
      </c>
      <c r="AQ80" s="177"/>
      <c r="AR80" s="405" t="s">
        <v>726</v>
      </c>
      <c r="AS80" s="179" t="s">
        <v>734</v>
      </c>
      <c r="AT80" s="343" t="s">
        <v>735</v>
      </c>
      <c r="AU80" s="343" t="s">
        <v>735</v>
      </c>
      <c r="AV80" s="343" t="s">
        <v>735</v>
      </c>
      <c r="AW80" s="343" t="s">
        <v>735</v>
      </c>
      <c r="AX80" s="343" t="s">
        <v>735</v>
      </c>
      <c r="AY80" s="343" t="s">
        <v>735</v>
      </c>
      <c r="AZ80" s="343"/>
      <c r="BA80" s="343"/>
      <c r="BB80" s="177"/>
      <c r="BC80" s="177"/>
      <c r="BD80" s="177"/>
      <c r="BE80" s="177"/>
      <c r="BF80" s="177"/>
      <c r="BG80" s="177"/>
      <c r="BH80" s="177"/>
      <c r="BI80" s="177"/>
      <c r="BJ80" s="177"/>
      <c r="BK80" s="177"/>
      <c r="BL80" s="177"/>
      <c r="BM80" s="177"/>
      <c r="BN80" s="177"/>
      <c r="BO80" s="177"/>
      <c r="BP80" s="177"/>
      <c r="BQ80" s="177"/>
      <c r="BR80" s="177"/>
      <c r="BS80" s="177"/>
      <c r="BT80" s="177"/>
      <c r="BU80" s="177"/>
      <c r="BV80" s="177"/>
      <c r="BW80" s="177"/>
      <c r="BX80" s="177"/>
      <c r="BY80" s="177"/>
      <c r="BZ80" s="177"/>
      <c r="CA80" s="177"/>
      <c r="CB80" s="177"/>
      <c r="CC80" s="177"/>
      <c r="CD80" s="177"/>
      <c r="CE80" s="177"/>
      <c r="CF80" s="177"/>
      <c r="CG80" s="177"/>
      <c r="CH80" s="177"/>
      <c r="CI80" s="177"/>
      <c r="CJ80" s="177"/>
      <c r="CK80" s="177"/>
      <c r="CL80" s="177"/>
      <c r="CM80" s="177"/>
      <c r="CN80" s="177"/>
      <c r="CO80" s="177"/>
      <c r="CP80" s="177"/>
      <c r="CQ80" s="177"/>
      <c r="CR80" s="177"/>
      <c r="CS80" s="177"/>
      <c r="CT80" s="177"/>
      <c r="CU80" s="177"/>
      <c r="CV80" s="177"/>
      <c r="CW80" s="177"/>
      <c r="CX80" s="177"/>
      <c r="CY80" s="177"/>
      <c r="CZ80" s="177"/>
      <c r="DA80" s="177"/>
      <c r="DB80" s="177"/>
      <c r="DC80" s="177"/>
      <c r="DD80" s="177"/>
      <c r="DE80" s="177"/>
      <c r="DF80" s="177"/>
      <c r="DG80" s="177"/>
      <c r="DH80" s="177"/>
      <c r="DI80" s="177"/>
      <c r="DJ80" s="177"/>
      <c r="DK80" s="177"/>
      <c r="DL80" s="177"/>
      <c r="DM80" s="177"/>
      <c r="DN80" s="177"/>
      <c r="DO80" s="1"/>
      <c r="DP80" s="1"/>
      <c r="DQ80" s="1"/>
      <c r="DR80" s="1"/>
      <c r="DS80" s="1"/>
      <c r="DT80" s="1"/>
      <c r="DU80" s="1"/>
      <c r="DV80" s="1"/>
      <c r="DW80" s="1"/>
      <c r="DX80" s="1"/>
      <c r="DY80" s="1"/>
      <c r="DZ80" s="1"/>
      <c r="EA80" s="1"/>
      <c r="EB80" s="1"/>
      <c r="EC80" s="1"/>
      <c r="ED80" s="1"/>
      <c r="EE80" s="1"/>
      <c r="EF80" s="1"/>
      <c r="EG80" s="1"/>
      <c r="EH80" s="1"/>
    </row>
    <row r="81" spans="1:138">
      <c r="A81" s="177"/>
      <c r="B81" s="410" t="s">
        <v>727</v>
      </c>
      <c r="C81" s="179" t="s">
        <v>734</v>
      </c>
      <c r="D81" s="343">
        <v>70000</v>
      </c>
      <c r="E81" s="343">
        <v>60000</v>
      </c>
      <c r="F81" s="343">
        <v>0</v>
      </c>
      <c r="G81" s="343">
        <v>5000</v>
      </c>
      <c r="H81" s="343">
        <v>0</v>
      </c>
      <c r="I81" s="343">
        <v>35000</v>
      </c>
      <c r="J81" s="177"/>
      <c r="K81" s="177"/>
      <c r="L81" s="405" t="s">
        <v>727</v>
      </c>
      <c r="M81" s="179" t="s">
        <v>734</v>
      </c>
      <c r="N81" s="444">
        <v>0</v>
      </c>
      <c r="O81" s="445">
        <v>126</v>
      </c>
      <c r="P81" s="445">
        <v>0</v>
      </c>
      <c r="Q81" s="445">
        <v>0</v>
      </c>
      <c r="R81" s="445">
        <v>60.75</v>
      </c>
      <c r="S81" s="572">
        <v>0</v>
      </c>
      <c r="T81" s="343">
        <v>1000</v>
      </c>
      <c r="U81" s="177"/>
      <c r="V81" s="405" t="s">
        <v>727</v>
      </c>
      <c r="W81" s="179" t="s">
        <v>734</v>
      </c>
      <c r="X81" s="343">
        <v>0</v>
      </c>
      <c r="Y81" s="343">
        <v>0</v>
      </c>
      <c r="Z81" s="343">
        <v>0</v>
      </c>
      <c r="AA81" s="343">
        <v>0</v>
      </c>
      <c r="AB81" s="343">
        <v>0</v>
      </c>
      <c r="AC81" s="343">
        <v>0</v>
      </c>
      <c r="AD81" s="343">
        <v>0</v>
      </c>
      <c r="AE81" s="343">
        <v>0</v>
      </c>
      <c r="AF81" s="177"/>
      <c r="AG81" s="405" t="s">
        <v>727</v>
      </c>
      <c r="AH81" s="179" t="s">
        <v>734</v>
      </c>
      <c r="AI81" s="343">
        <v>0</v>
      </c>
      <c r="AJ81" s="343">
        <v>0</v>
      </c>
      <c r="AK81" s="343">
        <v>0</v>
      </c>
      <c r="AL81" s="343">
        <v>0</v>
      </c>
      <c r="AM81" s="343">
        <v>0</v>
      </c>
      <c r="AN81" s="343">
        <v>0</v>
      </c>
      <c r="AO81" s="343">
        <v>0</v>
      </c>
      <c r="AP81" s="343">
        <v>0</v>
      </c>
      <c r="AQ81" s="177"/>
      <c r="AR81" s="405" t="s">
        <v>727</v>
      </c>
      <c r="AS81" s="179" t="s">
        <v>734</v>
      </c>
      <c r="AT81" s="343" t="s">
        <v>735</v>
      </c>
      <c r="AU81" s="343" t="s">
        <v>735</v>
      </c>
      <c r="AV81" s="343" t="s">
        <v>735</v>
      </c>
      <c r="AW81" s="343" t="s">
        <v>735</v>
      </c>
      <c r="AX81" s="343" t="s">
        <v>735</v>
      </c>
      <c r="AY81" s="343" t="s">
        <v>735</v>
      </c>
      <c r="AZ81" s="343"/>
      <c r="BA81" s="343"/>
      <c r="BB81" s="177"/>
      <c r="BC81" s="177"/>
      <c r="BD81" s="177"/>
      <c r="BE81" s="177"/>
      <c r="BF81" s="177"/>
      <c r="BG81" s="177"/>
      <c r="BH81" s="177"/>
      <c r="BI81" s="177"/>
      <c r="BJ81" s="177"/>
      <c r="BK81" s="177"/>
      <c r="BL81" s="177"/>
      <c r="BM81" s="177"/>
      <c r="BN81" s="177"/>
      <c r="BO81" s="177"/>
      <c r="BP81" s="177"/>
      <c r="BQ81" s="177"/>
      <c r="BR81" s="177"/>
      <c r="BS81" s="177"/>
      <c r="BT81" s="177"/>
      <c r="BU81" s="177"/>
      <c r="BV81" s="177"/>
      <c r="BW81" s="177"/>
      <c r="BX81" s="177"/>
      <c r="BY81" s="177"/>
      <c r="BZ81" s="177"/>
      <c r="CA81" s="177"/>
      <c r="CB81" s="177"/>
      <c r="CC81" s="177"/>
      <c r="CD81" s="177"/>
      <c r="CE81" s="177"/>
      <c r="CF81" s="177"/>
      <c r="CG81" s="177"/>
      <c r="CH81" s="177"/>
      <c r="CI81" s="177"/>
      <c r="CJ81" s="177"/>
      <c r="CK81" s="177"/>
      <c r="CL81" s="177"/>
      <c r="CM81" s="177"/>
      <c r="CN81" s="177"/>
      <c r="CO81" s="177"/>
      <c r="CP81" s="177"/>
      <c r="CQ81" s="177"/>
      <c r="CR81" s="177"/>
      <c r="CS81" s="177"/>
      <c r="CT81" s="177"/>
      <c r="CU81" s="177"/>
      <c r="CV81" s="177"/>
      <c r="CW81" s="177"/>
      <c r="CX81" s="177"/>
      <c r="CY81" s="177"/>
      <c r="CZ81" s="177"/>
      <c r="DA81" s="177"/>
      <c r="DB81" s="177"/>
      <c r="DC81" s="177"/>
      <c r="DD81" s="177"/>
      <c r="DE81" s="177"/>
      <c r="DF81" s="177"/>
      <c r="DG81" s="177"/>
      <c r="DH81" s="177"/>
      <c r="DI81" s="177"/>
      <c r="DJ81" s="177"/>
      <c r="DK81" s="177"/>
      <c r="DL81" s="177"/>
      <c r="DM81" s="177"/>
      <c r="DN81" s="177"/>
      <c r="DO81" s="1"/>
      <c r="DP81" s="1"/>
      <c r="DQ81" s="1"/>
      <c r="DR81" s="1"/>
      <c r="DS81" s="1"/>
      <c r="DT81" s="1"/>
      <c r="DU81" s="1"/>
      <c r="DV81" s="1"/>
      <c r="DW81" s="1"/>
      <c r="DX81" s="1"/>
      <c r="DY81" s="1"/>
      <c r="DZ81" s="1"/>
      <c r="EA81" s="1"/>
      <c r="EB81" s="1"/>
      <c r="EC81" s="1"/>
      <c r="ED81" s="1"/>
      <c r="EE81" s="1"/>
      <c r="EF81" s="1"/>
      <c r="EG81" s="1"/>
      <c r="EH81" s="1"/>
    </row>
    <row r="82" spans="1:138">
      <c r="A82" s="177"/>
      <c r="B82" s="410" t="s">
        <v>728</v>
      </c>
      <c r="C82" s="179" t="s">
        <v>734</v>
      </c>
      <c r="D82" s="343">
        <v>0</v>
      </c>
      <c r="E82" s="343">
        <v>0</v>
      </c>
      <c r="F82" s="343">
        <v>0</v>
      </c>
      <c r="G82" s="343">
        <v>0</v>
      </c>
      <c r="H82" s="343">
        <v>0</v>
      </c>
      <c r="I82" s="343">
        <v>0</v>
      </c>
      <c r="J82" s="177"/>
      <c r="K82" s="177"/>
      <c r="L82" s="405" t="s">
        <v>728</v>
      </c>
      <c r="M82" s="179" t="s">
        <v>734</v>
      </c>
      <c r="N82" s="570">
        <v>0</v>
      </c>
      <c r="O82" s="570">
        <v>0</v>
      </c>
      <c r="P82" s="570">
        <v>0</v>
      </c>
      <c r="Q82" s="570">
        <v>0</v>
      </c>
      <c r="R82" s="570">
        <v>0</v>
      </c>
      <c r="S82" s="570">
        <v>0</v>
      </c>
      <c r="T82" s="343">
        <v>0</v>
      </c>
      <c r="U82" s="177"/>
      <c r="V82" s="405" t="s">
        <v>728</v>
      </c>
      <c r="W82" s="179" t="s">
        <v>734</v>
      </c>
      <c r="X82" s="343">
        <v>0</v>
      </c>
      <c r="Y82" s="343">
        <v>0</v>
      </c>
      <c r="Z82" s="343">
        <v>0</v>
      </c>
      <c r="AA82" s="343">
        <v>0</v>
      </c>
      <c r="AB82" s="343">
        <v>0</v>
      </c>
      <c r="AC82" s="343">
        <v>0</v>
      </c>
      <c r="AD82" s="343">
        <v>0</v>
      </c>
      <c r="AE82" s="343">
        <v>0</v>
      </c>
      <c r="AF82" s="177"/>
      <c r="AG82" s="405" t="s">
        <v>728</v>
      </c>
      <c r="AH82" s="179" t="s">
        <v>734</v>
      </c>
      <c r="AI82" s="343">
        <v>0</v>
      </c>
      <c r="AJ82" s="343">
        <v>0</v>
      </c>
      <c r="AK82" s="343">
        <v>0</v>
      </c>
      <c r="AL82" s="343">
        <v>0</v>
      </c>
      <c r="AM82" s="343">
        <v>0</v>
      </c>
      <c r="AN82" s="343">
        <v>0</v>
      </c>
      <c r="AO82" s="343">
        <v>0</v>
      </c>
      <c r="AP82" s="343">
        <v>0</v>
      </c>
      <c r="AQ82" s="177"/>
      <c r="AR82" s="405" t="s">
        <v>728</v>
      </c>
      <c r="AS82" s="179" t="s">
        <v>734</v>
      </c>
      <c r="AT82" s="343" t="s">
        <v>735</v>
      </c>
      <c r="AU82" s="343" t="s">
        <v>735</v>
      </c>
      <c r="AV82" s="343" t="s">
        <v>735</v>
      </c>
      <c r="AW82" s="343" t="s">
        <v>735</v>
      </c>
      <c r="AX82" s="343" t="s">
        <v>735</v>
      </c>
      <c r="AY82" s="343" t="s">
        <v>735</v>
      </c>
      <c r="AZ82" s="343"/>
      <c r="BA82" s="343"/>
      <c r="BB82" s="177"/>
      <c r="BC82" s="177"/>
      <c r="BD82" s="177"/>
      <c r="BE82" s="177"/>
      <c r="BF82" s="177"/>
      <c r="BG82" s="177"/>
      <c r="BH82" s="177"/>
      <c r="BI82" s="177"/>
      <c r="BJ82" s="177"/>
      <c r="BK82" s="177"/>
      <c r="BL82" s="177"/>
      <c r="BM82" s="177"/>
      <c r="BN82" s="177"/>
      <c r="BO82" s="177"/>
      <c r="BP82" s="177"/>
      <c r="BQ82" s="177"/>
      <c r="BR82" s="177"/>
      <c r="BS82" s="177"/>
      <c r="BT82" s="177"/>
      <c r="BU82" s="177"/>
      <c r="BV82" s="177"/>
      <c r="BW82" s="177"/>
      <c r="BX82" s="177"/>
      <c r="BY82" s="177"/>
      <c r="BZ82" s="177"/>
      <c r="CA82" s="177"/>
      <c r="CB82" s="177"/>
      <c r="CC82" s="177"/>
      <c r="CD82" s="177"/>
      <c r="CE82" s="177"/>
      <c r="CF82" s="177"/>
      <c r="CG82" s="177"/>
      <c r="CH82" s="177"/>
      <c r="CI82" s="177"/>
      <c r="CJ82" s="177"/>
      <c r="CK82" s="177"/>
      <c r="CL82" s="177"/>
      <c r="CM82" s="177"/>
      <c r="CN82" s="177"/>
      <c r="CO82" s="177"/>
      <c r="CP82" s="177"/>
      <c r="CQ82" s="177"/>
      <c r="CR82" s="177"/>
      <c r="CS82" s="177"/>
      <c r="CT82" s="177"/>
      <c r="CU82" s="177"/>
      <c r="CV82" s="177"/>
      <c r="CW82" s="177"/>
      <c r="CX82" s="177"/>
      <c r="CY82" s="177"/>
      <c r="CZ82" s="177"/>
      <c r="DA82" s="177"/>
      <c r="DB82" s="177"/>
      <c r="DC82" s="177"/>
      <c r="DD82" s="177"/>
      <c r="DE82" s="177"/>
      <c r="DF82" s="177"/>
      <c r="DG82" s="177"/>
      <c r="DH82" s="177"/>
      <c r="DI82" s="177"/>
      <c r="DJ82" s="177"/>
      <c r="DK82" s="177"/>
      <c r="DL82" s="177"/>
      <c r="DM82" s="177"/>
      <c r="DN82" s="177"/>
      <c r="DO82" s="1"/>
      <c r="DP82" s="1"/>
      <c r="DQ82" s="1"/>
      <c r="DR82" s="1"/>
      <c r="DS82" s="1"/>
      <c r="DT82" s="1"/>
      <c r="DU82" s="1"/>
      <c r="DV82" s="1"/>
      <c r="DW82" s="1"/>
      <c r="DX82" s="1"/>
      <c r="DY82" s="1"/>
      <c r="DZ82" s="1"/>
      <c r="EA82" s="1"/>
      <c r="EB82" s="1"/>
      <c r="EC82" s="1"/>
      <c r="ED82" s="1"/>
      <c r="EE82" s="1"/>
      <c r="EF82" s="1"/>
      <c r="EG82" s="1"/>
      <c r="EH82" s="1"/>
    </row>
    <row r="83" spans="1:138">
      <c r="A83" s="177"/>
      <c r="B83" s="410" t="s">
        <v>729</v>
      </c>
      <c r="C83" s="179" t="s">
        <v>734</v>
      </c>
      <c r="D83" s="343">
        <v>0</v>
      </c>
      <c r="E83" s="343">
        <v>0</v>
      </c>
      <c r="F83" s="343">
        <v>0</v>
      </c>
      <c r="G83" s="343">
        <v>0</v>
      </c>
      <c r="H83" s="343">
        <v>0</v>
      </c>
      <c r="I83" s="343">
        <v>0</v>
      </c>
      <c r="J83" s="177"/>
      <c r="K83" s="177"/>
      <c r="L83" s="405" t="s">
        <v>729</v>
      </c>
      <c r="M83" s="179" t="s">
        <v>734</v>
      </c>
      <c r="N83" s="570">
        <v>0</v>
      </c>
      <c r="O83" s="570">
        <v>0</v>
      </c>
      <c r="P83" s="570">
        <v>0</v>
      </c>
      <c r="Q83" s="570">
        <v>0</v>
      </c>
      <c r="R83" s="570">
        <v>0</v>
      </c>
      <c r="S83" s="570">
        <v>0</v>
      </c>
      <c r="T83" s="343">
        <v>0</v>
      </c>
      <c r="U83" s="177"/>
      <c r="V83" s="405" t="s">
        <v>729</v>
      </c>
      <c r="W83" s="179" t="s">
        <v>734</v>
      </c>
      <c r="X83" s="343">
        <v>0</v>
      </c>
      <c r="Y83" s="343">
        <v>0</v>
      </c>
      <c r="Z83" s="343">
        <v>0</v>
      </c>
      <c r="AA83" s="343">
        <v>0</v>
      </c>
      <c r="AB83" s="343">
        <v>0</v>
      </c>
      <c r="AC83" s="343">
        <v>0</v>
      </c>
      <c r="AD83" s="343">
        <v>0</v>
      </c>
      <c r="AE83" s="343">
        <v>0</v>
      </c>
      <c r="AF83" s="177"/>
      <c r="AG83" s="405" t="s">
        <v>729</v>
      </c>
      <c r="AH83" s="179" t="s">
        <v>734</v>
      </c>
      <c r="AI83" s="343">
        <v>0</v>
      </c>
      <c r="AJ83" s="343">
        <v>0</v>
      </c>
      <c r="AK83" s="343">
        <v>0</v>
      </c>
      <c r="AL83" s="343">
        <v>0</v>
      </c>
      <c r="AM83" s="343">
        <v>0</v>
      </c>
      <c r="AN83" s="343">
        <v>0</v>
      </c>
      <c r="AO83" s="343">
        <v>0</v>
      </c>
      <c r="AP83" s="343">
        <v>0</v>
      </c>
      <c r="AQ83" s="177"/>
      <c r="AR83" s="405" t="s">
        <v>729</v>
      </c>
      <c r="AS83" s="179" t="s">
        <v>734</v>
      </c>
      <c r="AT83" s="343" t="s">
        <v>735</v>
      </c>
      <c r="AU83" s="343" t="s">
        <v>735</v>
      </c>
      <c r="AV83" s="343" t="s">
        <v>735</v>
      </c>
      <c r="AW83" s="343" t="s">
        <v>735</v>
      </c>
      <c r="AX83" s="343" t="s">
        <v>735</v>
      </c>
      <c r="AY83" s="343" t="s">
        <v>735</v>
      </c>
      <c r="AZ83" s="343"/>
      <c r="BA83" s="343"/>
      <c r="BB83" s="177"/>
      <c r="BC83" s="177"/>
      <c r="BD83" s="177"/>
      <c r="BE83" s="177"/>
      <c r="BF83" s="177"/>
      <c r="BG83" s="177"/>
      <c r="BH83" s="177"/>
      <c r="BI83" s="177"/>
      <c r="BJ83" s="177"/>
      <c r="BK83" s="177"/>
      <c r="BL83" s="177"/>
      <c r="BM83" s="177"/>
      <c r="BN83" s="177"/>
      <c r="BO83" s="177"/>
      <c r="BP83" s="177"/>
      <c r="BQ83" s="177"/>
      <c r="BR83" s="177"/>
      <c r="BS83" s="177"/>
      <c r="BT83" s="177"/>
      <c r="BU83" s="177"/>
      <c r="BV83" s="177"/>
      <c r="BW83" s="177"/>
      <c r="BX83" s="177"/>
      <c r="BY83" s="177"/>
      <c r="BZ83" s="177"/>
      <c r="CA83" s="177"/>
      <c r="CB83" s="177"/>
      <c r="CC83" s="177"/>
      <c r="CD83" s="177"/>
      <c r="CE83" s="177"/>
      <c r="CF83" s="177"/>
      <c r="CG83" s="177"/>
      <c r="CH83" s="177"/>
      <c r="CI83" s="177"/>
      <c r="CJ83" s="177"/>
      <c r="CK83" s="177"/>
      <c r="CL83" s="177"/>
      <c r="CM83" s="177"/>
      <c r="CN83" s="177"/>
      <c r="CO83" s="177"/>
      <c r="CP83" s="177"/>
      <c r="CQ83" s="177"/>
      <c r="CR83" s="177"/>
      <c r="CS83" s="177"/>
      <c r="CT83" s="177"/>
      <c r="CU83" s="177"/>
      <c r="CV83" s="177"/>
      <c r="CW83" s="177"/>
      <c r="CX83" s="177"/>
      <c r="CY83" s="177"/>
      <c r="CZ83" s="177"/>
      <c r="DA83" s="177"/>
      <c r="DB83" s="177"/>
      <c r="DC83" s="177"/>
      <c r="DD83" s="177"/>
      <c r="DE83" s="177"/>
      <c r="DF83" s="177"/>
      <c r="DG83" s="177"/>
      <c r="DH83" s="177"/>
      <c r="DI83" s="177"/>
      <c r="DJ83" s="177"/>
      <c r="DK83" s="177"/>
      <c r="DL83" s="177"/>
      <c r="DM83" s="177"/>
      <c r="DN83" s="177"/>
      <c r="DO83" s="1"/>
      <c r="DP83" s="1"/>
      <c r="DQ83" s="1"/>
      <c r="DR83" s="1"/>
      <c r="DS83" s="1"/>
      <c r="DT83" s="1"/>
      <c r="DU83" s="1"/>
      <c r="DV83" s="1"/>
      <c r="DW83" s="1"/>
      <c r="DX83" s="1"/>
      <c r="DY83" s="1"/>
      <c r="DZ83" s="1"/>
      <c r="EA83" s="1"/>
      <c r="EB83" s="1"/>
      <c r="EC83" s="1"/>
      <c r="ED83" s="1"/>
      <c r="EE83" s="1"/>
      <c r="EF83" s="1"/>
      <c r="EG83" s="1"/>
      <c r="EH83" s="1"/>
    </row>
    <row r="84" spans="1:138">
      <c r="A84" s="177"/>
      <c r="B84" s="410" t="s">
        <v>730</v>
      </c>
      <c r="C84" s="179" t="s">
        <v>734</v>
      </c>
      <c r="D84" s="343">
        <v>0</v>
      </c>
      <c r="E84" s="343">
        <v>0</v>
      </c>
      <c r="F84" s="343">
        <v>0</v>
      </c>
      <c r="G84" s="343">
        <v>0</v>
      </c>
      <c r="H84" s="343">
        <v>0</v>
      </c>
      <c r="I84" s="343">
        <v>0</v>
      </c>
      <c r="J84" s="177"/>
      <c r="K84" s="177"/>
      <c r="L84" s="405" t="s">
        <v>730</v>
      </c>
      <c r="M84" s="179" t="s">
        <v>734</v>
      </c>
      <c r="N84" s="570">
        <v>0</v>
      </c>
      <c r="O84" s="570">
        <v>0</v>
      </c>
      <c r="P84" s="570">
        <v>0</v>
      </c>
      <c r="Q84" s="570">
        <v>0</v>
      </c>
      <c r="R84" s="570">
        <v>0</v>
      </c>
      <c r="S84" s="570">
        <v>0</v>
      </c>
      <c r="T84" s="343">
        <v>0</v>
      </c>
      <c r="U84" s="177"/>
      <c r="V84" s="405" t="s">
        <v>730</v>
      </c>
      <c r="W84" s="179" t="s">
        <v>734</v>
      </c>
      <c r="X84" s="343">
        <v>0</v>
      </c>
      <c r="Y84" s="343">
        <v>0</v>
      </c>
      <c r="Z84" s="343">
        <v>0</v>
      </c>
      <c r="AA84" s="343">
        <v>0</v>
      </c>
      <c r="AB84" s="343">
        <v>0</v>
      </c>
      <c r="AC84" s="343">
        <v>0</v>
      </c>
      <c r="AD84" s="343">
        <v>0</v>
      </c>
      <c r="AE84" s="343">
        <v>0</v>
      </c>
      <c r="AF84" s="177"/>
      <c r="AG84" s="405" t="s">
        <v>730</v>
      </c>
      <c r="AH84" s="179" t="s">
        <v>734</v>
      </c>
      <c r="AI84" s="343">
        <v>0</v>
      </c>
      <c r="AJ84" s="343">
        <v>0</v>
      </c>
      <c r="AK84" s="343">
        <v>0</v>
      </c>
      <c r="AL84" s="343">
        <v>0</v>
      </c>
      <c r="AM84" s="343">
        <v>0</v>
      </c>
      <c r="AN84" s="343">
        <v>0</v>
      </c>
      <c r="AO84" s="343">
        <v>0</v>
      </c>
      <c r="AP84" s="343">
        <v>0</v>
      </c>
      <c r="AQ84" s="177"/>
      <c r="AR84" s="405" t="s">
        <v>730</v>
      </c>
      <c r="AS84" s="179" t="s">
        <v>734</v>
      </c>
      <c r="AT84" s="343" t="s">
        <v>735</v>
      </c>
      <c r="AU84" s="343" t="s">
        <v>735</v>
      </c>
      <c r="AV84" s="343" t="s">
        <v>735</v>
      </c>
      <c r="AW84" s="343" t="s">
        <v>735</v>
      </c>
      <c r="AX84" s="343" t="s">
        <v>735</v>
      </c>
      <c r="AY84" s="343" t="s">
        <v>735</v>
      </c>
      <c r="AZ84" s="343"/>
      <c r="BA84" s="343"/>
      <c r="BB84" s="177"/>
      <c r="BC84" s="177"/>
      <c r="BD84" s="177"/>
      <c r="BE84" s="177"/>
      <c r="BF84" s="177"/>
      <c r="BG84" s="177"/>
      <c r="BH84" s="177"/>
      <c r="BI84" s="177"/>
      <c r="BJ84" s="177"/>
      <c r="BK84" s="177"/>
      <c r="BL84" s="177"/>
      <c r="BM84" s="177"/>
      <c r="BN84" s="177"/>
      <c r="BO84" s="177"/>
      <c r="BP84" s="177"/>
      <c r="BQ84" s="177"/>
      <c r="BR84" s="177"/>
      <c r="BS84" s="177"/>
      <c r="BT84" s="177"/>
      <c r="BU84" s="177"/>
      <c r="BV84" s="177"/>
      <c r="BW84" s="177"/>
      <c r="BX84" s="177"/>
      <c r="BY84" s="177"/>
      <c r="BZ84" s="177"/>
      <c r="CA84" s="177"/>
      <c r="CB84" s="177"/>
      <c r="CC84" s="177"/>
      <c r="CD84" s="177"/>
      <c r="CE84" s="177"/>
      <c r="CF84" s="177"/>
      <c r="CG84" s="177"/>
      <c r="CH84" s="177"/>
      <c r="CI84" s="177"/>
      <c r="CJ84" s="177"/>
      <c r="CK84" s="177"/>
      <c r="CL84" s="177"/>
      <c r="CM84" s="177"/>
      <c r="CN84" s="177"/>
      <c r="CO84" s="177"/>
      <c r="CP84" s="177"/>
      <c r="CQ84" s="177"/>
      <c r="CR84" s="177"/>
      <c r="CS84" s="177"/>
      <c r="CT84" s="177"/>
      <c r="CU84" s="177"/>
      <c r="CV84" s="177"/>
      <c r="CW84" s="177"/>
      <c r="CX84" s="177"/>
      <c r="CY84" s="177"/>
      <c r="CZ84" s="177"/>
      <c r="DA84" s="177"/>
      <c r="DB84" s="177"/>
      <c r="DC84" s="177"/>
      <c r="DD84" s="177"/>
      <c r="DE84" s="177"/>
      <c r="DF84" s="177"/>
      <c r="DG84" s="177"/>
      <c r="DH84" s="177"/>
      <c r="DI84" s="177"/>
      <c r="DJ84" s="177"/>
      <c r="DK84" s="177"/>
      <c r="DL84" s="177"/>
      <c r="DM84" s="177"/>
      <c r="DN84" s="177"/>
      <c r="DO84" s="1"/>
      <c r="DP84" s="1"/>
      <c r="DQ84" s="1"/>
      <c r="DR84" s="1"/>
      <c r="DS84" s="1"/>
      <c r="DT84" s="1"/>
      <c r="DU84" s="1"/>
      <c r="DV84" s="1"/>
      <c r="DW84" s="1"/>
      <c r="DX84" s="1"/>
      <c r="DY84" s="1"/>
      <c r="DZ84" s="1"/>
      <c r="EA84" s="1"/>
      <c r="EB84" s="1"/>
      <c r="EC84" s="1"/>
      <c r="ED84" s="1"/>
      <c r="EE84" s="1"/>
      <c r="EF84" s="1"/>
      <c r="EG84" s="1"/>
      <c r="EH84" s="1"/>
    </row>
    <row r="85" spans="1:138">
      <c r="A85" s="177"/>
      <c r="B85" s="410" t="s">
        <v>731</v>
      </c>
      <c r="C85" s="179" t="s">
        <v>734</v>
      </c>
      <c r="D85" s="343">
        <v>0</v>
      </c>
      <c r="E85" s="343">
        <v>0</v>
      </c>
      <c r="F85" s="343">
        <v>0</v>
      </c>
      <c r="G85" s="343">
        <v>0</v>
      </c>
      <c r="H85" s="343">
        <v>0</v>
      </c>
      <c r="I85" s="343">
        <v>0</v>
      </c>
      <c r="J85" s="177"/>
      <c r="K85" s="177"/>
      <c r="L85" s="405" t="s">
        <v>731</v>
      </c>
      <c r="M85" s="179" t="s">
        <v>734</v>
      </c>
      <c r="N85" s="570">
        <v>0</v>
      </c>
      <c r="O85" s="570">
        <v>0</v>
      </c>
      <c r="P85" s="570">
        <v>0</v>
      </c>
      <c r="Q85" s="570">
        <v>0</v>
      </c>
      <c r="R85" s="570">
        <v>0</v>
      </c>
      <c r="S85" s="570">
        <v>0</v>
      </c>
      <c r="T85" s="343">
        <v>0</v>
      </c>
      <c r="U85" s="177"/>
      <c r="V85" s="405" t="s">
        <v>731</v>
      </c>
      <c r="W85" s="179" t="s">
        <v>734</v>
      </c>
      <c r="X85" s="343">
        <v>0</v>
      </c>
      <c r="Y85" s="343">
        <v>0</v>
      </c>
      <c r="Z85" s="343">
        <v>0</v>
      </c>
      <c r="AA85" s="343">
        <v>0</v>
      </c>
      <c r="AB85" s="343">
        <v>0</v>
      </c>
      <c r="AC85" s="343">
        <v>0</v>
      </c>
      <c r="AD85" s="343">
        <v>0</v>
      </c>
      <c r="AE85" s="343">
        <v>0</v>
      </c>
      <c r="AF85" s="177"/>
      <c r="AG85" s="405" t="s">
        <v>731</v>
      </c>
      <c r="AH85" s="179" t="s">
        <v>734</v>
      </c>
      <c r="AI85" s="343">
        <v>0</v>
      </c>
      <c r="AJ85" s="343">
        <v>0</v>
      </c>
      <c r="AK85" s="343">
        <v>0</v>
      </c>
      <c r="AL85" s="343">
        <v>0</v>
      </c>
      <c r="AM85" s="343">
        <v>0</v>
      </c>
      <c r="AN85" s="343">
        <v>0</v>
      </c>
      <c r="AO85" s="343">
        <v>0</v>
      </c>
      <c r="AP85" s="343">
        <v>0</v>
      </c>
      <c r="AQ85" s="177"/>
      <c r="AR85" s="405" t="s">
        <v>731</v>
      </c>
      <c r="AS85" s="179" t="s">
        <v>734</v>
      </c>
      <c r="AT85" s="343" t="s">
        <v>735</v>
      </c>
      <c r="AU85" s="343" t="s">
        <v>735</v>
      </c>
      <c r="AV85" s="343" t="s">
        <v>735</v>
      </c>
      <c r="AW85" s="343" t="s">
        <v>735</v>
      </c>
      <c r="AX85" s="343" t="s">
        <v>735</v>
      </c>
      <c r="AY85" s="343" t="s">
        <v>735</v>
      </c>
      <c r="AZ85" s="343"/>
      <c r="BA85" s="343"/>
      <c r="BB85" s="177"/>
      <c r="BC85" s="177"/>
      <c r="BD85" s="177"/>
      <c r="BE85" s="177"/>
      <c r="BF85" s="177"/>
      <c r="BG85" s="177"/>
      <c r="BH85" s="177"/>
      <c r="BI85" s="177"/>
      <c r="BJ85" s="177"/>
      <c r="BK85" s="177"/>
      <c r="BL85" s="177"/>
      <c r="BM85" s="177"/>
      <c r="BN85" s="177"/>
      <c r="BO85" s="177"/>
      <c r="BP85" s="177"/>
      <c r="BQ85" s="177"/>
      <c r="BR85" s="177"/>
      <c r="BS85" s="177"/>
      <c r="BT85" s="177"/>
      <c r="BU85" s="177"/>
      <c r="BV85" s="177"/>
      <c r="BW85" s="177"/>
      <c r="BX85" s="177"/>
      <c r="BY85" s="177"/>
      <c r="BZ85" s="177"/>
      <c r="CA85" s="177"/>
      <c r="CB85" s="177"/>
      <c r="CC85" s="177"/>
      <c r="CD85" s="177"/>
      <c r="CE85" s="177"/>
      <c r="CF85" s="177"/>
      <c r="CG85" s="177"/>
      <c r="CH85" s="177"/>
      <c r="CI85" s="177"/>
      <c r="CJ85" s="177"/>
      <c r="CK85" s="177"/>
      <c r="CL85" s="177"/>
      <c r="CM85" s="177"/>
      <c r="CN85" s="177"/>
      <c r="CO85" s="177"/>
      <c r="CP85" s="177"/>
      <c r="CQ85" s="177"/>
      <c r="CR85" s="177"/>
      <c r="CS85" s="177"/>
      <c r="CT85" s="177"/>
      <c r="CU85" s="177"/>
      <c r="CV85" s="177"/>
      <c r="CW85" s="177"/>
      <c r="CX85" s="177"/>
      <c r="CY85" s="177"/>
      <c r="CZ85" s="177"/>
      <c r="DA85" s="177"/>
      <c r="DB85" s="177"/>
      <c r="DC85" s="177"/>
      <c r="DD85" s="177"/>
      <c r="DE85" s="177"/>
      <c r="DF85" s="177"/>
      <c r="DG85" s="177"/>
      <c r="DH85" s="177"/>
      <c r="DI85" s="177"/>
      <c r="DJ85" s="177"/>
      <c r="DK85" s="177"/>
      <c r="DL85" s="177"/>
      <c r="DM85" s="177"/>
      <c r="DN85" s="177"/>
      <c r="DO85" s="1"/>
      <c r="DP85" s="1"/>
      <c r="DQ85" s="1"/>
      <c r="DR85" s="1"/>
      <c r="DS85" s="1"/>
      <c r="DT85" s="1"/>
      <c r="DU85" s="1"/>
      <c r="DV85" s="1"/>
      <c r="DW85" s="1"/>
      <c r="DX85" s="1"/>
      <c r="DY85" s="1"/>
      <c r="DZ85" s="1"/>
      <c r="EA85" s="1"/>
      <c r="EB85" s="1"/>
      <c r="EC85" s="1"/>
      <c r="ED85" s="1"/>
      <c r="EE85" s="1"/>
      <c r="EF85" s="1"/>
      <c r="EG85" s="1"/>
      <c r="EH85" s="1"/>
    </row>
    <row r="86" spans="1:138">
      <c r="A86" s="177"/>
      <c r="B86" s="410" t="s">
        <v>732</v>
      </c>
      <c r="C86" s="179" t="s">
        <v>734</v>
      </c>
      <c r="D86" s="343">
        <v>0</v>
      </c>
      <c r="E86" s="343">
        <v>0</v>
      </c>
      <c r="F86" s="343">
        <v>0</v>
      </c>
      <c r="G86" s="343">
        <v>0</v>
      </c>
      <c r="H86" s="343">
        <v>0</v>
      </c>
      <c r="I86" s="343">
        <v>0</v>
      </c>
      <c r="J86" s="177"/>
      <c r="K86" s="177"/>
      <c r="L86" s="405" t="s">
        <v>732</v>
      </c>
      <c r="M86" s="179" t="s">
        <v>734</v>
      </c>
      <c r="N86" s="570">
        <v>0</v>
      </c>
      <c r="O86" s="570">
        <v>0</v>
      </c>
      <c r="P86" s="570">
        <v>0</v>
      </c>
      <c r="Q86" s="570">
        <v>0</v>
      </c>
      <c r="R86" s="570">
        <v>0</v>
      </c>
      <c r="S86" s="570">
        <v>0</v>
      </c>
      <c r="T86" s="343">
        <v>0</v>
      </c>
      <c r="U86" s="177"/>
      <c r="V86" s="405" t="s">
        <v>732</v>
      </c>
      <c r="W86" s="179" t="s">
        <v>734</v>
      </c>
      <c r="X86" s="343">
        <v>0</v>
      </c>
      <c r="Y86" s="343">
        <v>0</v>
      </c>
      <c r="Z86" s="343">
        <v>0</v>
      </c>
      <c r="AA86" s="343">
        <v>0</v>
      </c>
      <c r="AB86" s="343">
        <v>0</v>
      </c>
      <c r="AC86" s="343">
        <v>0</v>
      </c>
      <c r="AD86" s="343">
        <v>0</v>
      </c>
      <c r="AE86" s="343">
        <v>0</v>
      </c>
      <c r="AF86" s="177"/>
      <c r="AG86" s="405" t="s">
        <v>732</v>
      </c>
      <c r="AH86" s="179" t="s">
        <v>734</v>
      </c>
      <c r="AI86" s="343">
        <v>0</v>
      </c>
      <c r="AJ86" s="343">
        <v>0</v>
      </c>
      <c r="AK86" s="343">
        <v>0</v>
      </c>
      <c r="AL86" s="343">
        <v>0</v>
      </c>
      <c r="AM86" s="343">
        <v>0</v>
      </c>
      <c r="AN86" s="343">
        <v>0</v>
      </c>
      <c r="AO86" s="343">
        <v>0</v>
      </c>
      <c r="AP86" s="343">
        <v>0</v>
      </c>
      <c r="AQ86" s="177"/>
      <c r="AR86" s="405" t="s">
        <v>732</v>
      </c>
      <c r="AS86" s="179" t="s">
        <v>734</v>
      </c>
      <c r="AT86" s="343" t="s">
        <v>735</v>
      </c>
      <c r="AU86" s="343" t="s">
        <v>735</v>
      </c>
      <c r="AV86" s="343" t="s">
        <v>735</v>
      </c>
      <c r="AW86" s="343" t="s">
        <v>735</v>
      </c>
      <c r="AX86" s="343" t="s">
        <v>735</v>
      </c>
      <c r="AY86" s="343" t="s">
        <v>735</v>
      </c>
      <c r="AZ86" s="343"/>
      <c r="BA86" s="343"/>
      <c r="BB86" s="177"/>
      <c r="BC86" s="177"/>
      <c r="BD86" s="177"/>
      <c r="BE86" s="177"/>
      <c r="BF86" s="177"/>
      <c r="BG86" s="177"/>
      <c r="BH86" s="177"/>
      <c r="BI86" s="177"/>
      <c r="BJ86" s="177"/>
      <c r="BK86" s="177"/>
      <c r="BL86" s="177"/>
      <c r="BM86" s="177"/>
      <c r="BN86" s="177"/>
      <c r="BO86" s="177"/>
      <c r="BP86" s="177"/>
      <c r="BQ86" s="177"/>
      <c r="BR86" s="177"/>
      <c r="BS86" s="177"/>
      <c r="BT86" s="177"/>
      <c r="BU86" s="177"/>
      <c r="BV86" s="177"/>
      <c r="BW86" s="177"/>
      <c r="BX86" s="177"/>
      <c r="BY86" s="177"/>
      <c r="BZ86" s="177"/>
      <c r="CA86" s="177"/>
      <c r="CB86" s="177"/>
      <c r="CC86" s="177"/>
      <c r="CD86" s="177"/>
      <c r="CE86" s="177"/>
      <c r="CF86" s="177"/>
      <c r="CG86" s="177"/>
      <c r="CH86" s="177"/>
      <c r="CI86" s="177"/>
      <c r="CJ86" s="177"/>
      <c r="CK86" s="177"/>
      <c r="CL86" s="177"/>
      <c r="CM86" s="177"/>
      <c r="CN86" s="177"/>
      <c r="CO86" s="177"/>
      <c r="CP86" s="177"/>
      <c r="CQ86" s="177"/>
      <c r="CR86" s="177"/>
      <c r="CS86" s="177"/>
      <c r="CT86" s="177"/>
      <c r="CU86" s="177"/>
      <c r="CV86" s="177"/>
      <c r="CW86" s="177"/>
      <c r="CX86" s="177"/>
      <c r="CY86" s="177"/>
      <c r="CZ86" s="177"/>
      <c r="DA86" s="177"/>
      <c r="DB86" s="177"/>
      <c r="DC86" s="177"/>
      <c r="DD86" s="177"/>
      <c r="DE86" s="177"/>
      <c r="DF86" s="177"/>
      <c r="DG86" s="177"/>
      <c r="DH86" s="177"/>
      <c r="DI86" s="177"/>
      <c r="DJ86" s="177"/>
      <c r="DK86" s="177"/>
      <c r="DL86" s="177"/>
      <c r="DM86" s="177"/>
      <c r="DN86" s="177"/>
      <c r="DO86" s="1"/>
      <c r="DP86" s="1"/>
      <c r="DQ86" s="1"/>
      <c r="DR86" s="1"/>
      <c r="DS86" s="1"/>
      <c r="DT86" s="1"/>
      <c r="DU86" s="1"/>
      <c r="DV86" s="1"/>
      <c r="DW86" s="1"/>
      <c r="DX86" s="1"/>
      <c r="DY86" s="1"/>
      <c r="DZ86" s="1"/>
      <c r="EA86" s="1"/>
      <c r="EB86" s="1"/>
      <c r="EC86" s="1"/>
      <c r="ED86" s="1"/>
      <c r="EE86" s="1"/>
      <c r="EF86" s="1"/>
      <c r="EG86" s="1"/>
      <c r="EH86" s="1"/>
    </row>
    <row r="87" spans="1:138">
      <c r="A87" s="177"/>
      <c r="B87" s="411" t="s">
        <v>733</v>
      </c>
      <c r="C87" s="408" t="s">
        <v>734</v>
      </c>
      <c r="D87" s="568">
        <v>0</v>
      </c>
      <c r="E87" s="568">
        <v>0</v>
      </c>
      <c r="F87" s="568">
        <v>0</v>
      </c>
      <c r="G87" s="568">
        <v>0</v>
      </c>
      <c r="H87" s="568">
        <v>0</v>
      </c>
      <c r="I87" s="569">
        <v>0</v>
      </c>
      <c r="J87" s="177"/>
      <c r="K87" s="177"/>
      <c r="L87" s="23" t="s">
        <v>733</v>
      </c>
      <c r="M87" s="179" t="s">
        <v>734</v>
      </c>
      <c r="N87" s="570">
        <v>0</v>
      </c>
      <c r="O87" s="570">
        <v>0</v>
      </c>
      <c r="P87" s="570">
        <v>0</v>
      </c>
      <c r="Q87" s="570">
        <v>0</v>
      </c>
      <c r="R87" s="570">
        <v>0</v>
      </c>
      <c r="S87" s="570">
        <v>0</v>
      </c>
      <c r="T87" s="343">
        <v>0</v>
      </c>
      <c r="U87" s="177"/>
      <c r="V87" s="23" t="s">
        <v>733</v>
      </c>
      <c r="W87" s="179" t="s">
        <v>734</v>
      </c>
      <c r="X87" s="343">
        <v>0</v>
      </c>
      <c r="Y87" s="343">
        <v>0</v>
      </c>
      <c r="Z87" s="343">
        <v>0</v>
      </c>
      <c r="AA87" s="343">
        <v>0</v>
      </c>
      <c r="AB87" s="343">
        <v>0</v>
      </c>
      <c r="AC87" s="343">
        <v>0</v>
      </c>
      <c r="AD87" s="343">
        <v>0</v>
      </c>
      <c r="AE87" s="343">
        <v>0</v>
      </c>
      <c r="AF87" s="177"/>
      <c r="AG87" s="23" t="s">
        <v>733</v>
      </c>
      <c r="AH87" s="179" t="s">
        <v>734</v>
      </c>
      <c r="AI87" s="343">
        <v>0</v>
      </c>
      <c r="AJ87" s="343">
        <v>0</v>
      </c>
      <c r="AK87" s="343">
        <v>0</v>
      </c>
      <c r="AL87" s="343">
        <v>0</v>
      </c>
      <c r="AM87" s="343">
        <v>0</v>
      </c>
      <c r="AN87" s="343">
        <v>0</v>
      </c>
      <c r="AO87" s="343">
        <v>0</v>
      </c>
      <c r="AP87" s="343">
        <v>0</v>
      </c>
      <c r="AQ87" s="177"/>
      <c r="AR87" s="23" t="s">
        <v>733</v>
      </c>
      <c r="AS87" s="179" t="s">
        <v>734</v>
      </c>
      <c r="AT87" s="343" t="s">
        <v>735</v>
      </c>
      <c r="AU87" s="343" t="s">
        <v>735</v>
      </c>
      <c r="AV87" s="343" t="s">
        <v>735</v>
      </c>
      <c r="AW87" s="343" t="s">
        <v>735</v>
      </c>
      <c r="AX87" s="343" t="s">
        <v>735</v>
      </c>
      <c r="AY87" s="343" t="s">
        <v>735</v>
      </c>
      <c r="AZ87" s="343"/>
      <c r="BA87" s="343"/>
      <c r="BB87" s="177"/>
      <c r="BC87" s="177"/>
      <c r="BD87" s="177"/>
      <c r="BE87" s="177"/>
      <c r="BF87" s="177"/>
      <c r="BG87" s="177"/>
      <c r="BH87" s="177"/>
      <c r="BI87" s="177"/>
      <c r="BJ87" s="177"/>
      <c r="BK87" s="177"/>
      <c r="BL87" s="177"/>
      <c r="BM87" s="177"/>
      <c r="BN87" s="177"/>
      <c r="BO87" s="177"/>
      <c r="BP87" s="177"/>
      <c r="BQ87" s="177"/>
      <c r="BR87" s="177"/>
      <c r="BS87" s="177"/>
      <c r="BT87" s="177"/>
      <c r="BU87" s="177"/>
      <c r="BV87" s="177"/>
      <c r="BW87" s="177"/>
      <c r="BX87" s="177"/>
      <c r="BY87" s="177"/>
      <c r="BZ87" s="177"/>
      <c r="CA87" s="177"/>
      <c r="CB87" s="177"/>
      <c r="CC87" s="177"/>
      <c r="CD87" s="177"/>
      <c r="CE87" s="177"/>
      <c r="CF87" s="177"/>
      <c r="CG87" s="177"/>
      <c r="CH87" s="177"/>
      <c r="CI87" s="177"/>
      <c r="CJ87" s="177"/>
      <c r="CK87" s="177"/>
      <c r="CL87" s="177"/>
      <c r="CM87" s="177"/>
      <c r="CN87" s="177"/>
      <c r="CO87" s="177"/>
      <c r="CP87" s="177"/>
      <c r="CQ87" s="177"/>
      <c r="CR87" s="177"/>
      <c r="CS87" s="177"/>
      <c r="CT87" s="177"/>
      <c r="CU87" s="177"/>
      <c r="CV87" s="177"/>
      <c r="CW87" s="177"/>
      <c r="CX87" s="177"/>
      <c r="CY87" s="177"/>
      <c r="CZ87" s="177"/>
      <c r="DA87" s="177"/>
      <c r="DB87" s="177"/>
      <c r="DC87" s="177"/>
      <c r="DD87" s="177"/>
      <c r="DE87" s="177"/>
      <c r="DF87" s="177"/>
      <c r="DG87" s="177"/>
      <c r="DH87" s="177"/>
      <c r="DI87" s="177"/>
      <c r="DJ87" s="177"/>
      <c r="DK87" s="177"/>
      <c r="DL87" s="177"/>
      <c r="DM87" s="177"/>
      <c r="DN87" s="177"/>
      <c r="DO87" s="1"/>
      <c r="DP87" s="1"/>
      <c r="DQ87" s="1"/>
      <c r="DR87" s="1"/>
      <c r="DS87" s="1"/>
      <c r="DT87" s="1"/>
      <c r="DU87" s="1"/>
      <c r="DV87" s="1"/>
      <c r="DW87" s="1"/>
      <c r="DX87" s="1"/>
      <c r="DY87" s="1"/>
      <c r="DZ87" s="1"/>
      <c r="EA87" s="1"/>
      <c r="EB87" s="1"/>
      <c r="EC87" s="1"/>
      <c r="ED87" s="1"/>
      <c r="EE87" s="1"/>
      <c r="EF87" s="1"/>
      <c r="EG87" s="1"/>
      <c r="EH87" s="1"/>
    </row>
    <row r="88" spans="1:138">
      <c r="A88" s="177"/>
      <c r="B88" s="177"/>
      <c r="C88" s="177"/>
      <c r="D88" s="177"/>
      <c r="E88" s="177"/>
      <c r="F88" s="177"/>
      <c r="G88" s="177"/>
      <c r="H88" s="177"/>
      <c r="I88" s="177"/>
      <c r="J88" s="177"/>
      <c r="K88" s="177"/>
      <c r="L88" s="177"/>
      <c r="M88" s="177"/>
      <c r="N88" s="177"/>
      <c r="O88" s="177"/>
      <c r="P88" s="177"/>
      <c r="Q88" s="177"/>
      <c r="R88" s="177"/>
      <c r="S88" s="177"/>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7"/>
      <c r="AT88" s="177"/>
      <c r="AU88" s="177"/>
      <c r="AV88" s="177"/>
      <c r="AW88" s="177"/>
      <c r="AX88" s="177"/>
      <c r="AY88" s="177"/>
      <c r="AZ88" s="177"/>
      <c r="BA88" s="177"/>
      <c r="BB88" s="177"/>
      <c r="BC88" s="177"/>
      <c r="BD88" s="177"/>
      <c r="BE88" s="177"/>
      <c r="BF88" s="177"/>
      <c r="BG88" s="177"/>
      <c r="BH88" s="177"/>
      <c r="BI88" s="177"/>
      <c r="BJ88" s="177"/>
      <c r="BK88" s="177"/>
      <c r="BL88" s="177"/>
      <c r="BM88" s="177"/>
      <c r="BN88" s="177"/>
      <c r="BO88" s="177"/>
      <c r="BP88" s="177"/>
      <c r="BQ88" s="177"/>
      <c r="BR88" s="177"/>
      <c r="BS88" s="177"/>
      <c r="BT88" s="177"/>
      <c r="BU88" s="177"/>
      <c r="BV88" s="177"/>
      <c r="BW88" s="177"/>
      <c r="BX88" s="177"/>
      <c r="BY88" s="177"/>
      <c r="BZ88" s="177"/>
      <c r="CA88" s="177"/>
      <c r="CB88" s="177"/>
      <c r="CC88" s="177"/>
      <c r="CD88" s="177"/>
      <c r="CE88" s="177"/>
      <c r="CF88" s="177"/>
      <c r="CG88" s="177"/>
      <c r="CH88" s="177"/>
      <c r="CI88" s="177"/>
      <c r="CJ88" s="177"/>
      <c r="CK88" s="177"/>
      <c r="CL88" s="177"/>
      <c r="CM88" s="177"/>
      <c r="CN88" s="177"/>
      <c r="CO88" s="177"/>
      <c r="CP88" s="177"/>
      <c r="CQ88" s="177"/>
      <c r="CR88" s="177"/>
      <c r="CS88" s="177"/>
      <c r="CT88" s="177"/>
      <c r="CU88" s="177"/>
      <c r="CV88" s="177"/>
      <c r="CW88" s="177"/>
      <c r="CX88" s="177"/>
      <c r="CY88" s="177"/>
      <c r="CZ88" s="177"/>
      <c r="DA88" s="177"/>
      <c r="DB88" s="177"/>
      <c r="DC88" s="177"/>
      <c r="DD88" s="177"/>
      <c r="DE88" s="177"/>
      <c r="DF88" s="177"/>
      <c r="DG88" s="177"/>
      <c r="DH88" s="177"/>
      <c r="DI88" s="177"/>
      <c r="DJ88" s="177"/>
      <c r="DK88" s="177"/>
      <c r="DL88" s="177"/>
      <c r="DM88" s="177"/>
      <c r="DN88" s="177"/>
      <c r="DO88" s="1"/>
      <c r="DP88" s="1"/>
      <c r="DQ88" s="1"/>
      <c r="DR88" s="1"/>
      <c r="DS88" s="1"/>
      <c r="DT88" s="1"/>
      <c r="DU88" s="1"/>
      <c r="DV88" s="1"/>
      <c r="DW88" s="1"/>
      <c r="DX88" s="1"/>
      <c r="DY88" s="1"/>
      <c r="DZ88" s="1"/>
      <c r="EA88" s="1"/>
      <c r="EB88" s="1"/>
      <c r="EC88" s="1"/>
      <c r="ED88" s="1"/>
      <c r="EE88" s="1"/>
      <c r="EF88" s="1"/>
      <c r="EG88" s="1"/>
      <c r="EH88" s="1"/>
    </row>
    <row r="89" spans="1:138">
      <c r="A89" s="177"/>
      <c r="B89" s="177"/>
      <c r="C89" s="177"/>
      <c r="D89" s="177"/>
      <c r="E89" s="177"/>
      <c r="F89" s="177"/>
      <c r="G89" s="177"/>
      <c r="H89" s="177"/>
      <c r="I89" s="177"/>
      <c r="J89" s="177"/>
      <c r="K89" s="177"/>
      <c r="L89" s="177"/>
      <c r="M89" s="177"/>
      <c r="N89" s="177"/>
      <c r="O89" s="177"/>
      <c r="P89" s="177"/>
      <c r="Q89" s="177"/>
      <c r="R89" s="177"/>
      <c r="S89" s="177"/>
      <c r="T89" s="177"/>
      <c r="U89" s="177"/>
      <c r="V89" s="177"/>
      <c r="W89" s="177"/>
      <c r="X89" s="177"/>
      <c r="Y89" s="177"/>
      <c r="Z89" s="177"/>
      <c r="AA89" s="177"/>
      <c r="AB89" s="177"/>
      <c r="AC89" s="177"/>
      <c r="AD89" s="177"/>
      <c r="AE89" s="177"/>
      <c r="AF89" s="177"/>
      <c r="AG89" s="177"/>
      <c r="AH89" s="177"/>
      <c r="AI89" s="177"/>
      <c r="AJ89" s="177"/>
      <c r="AK89" s="177"/>
      <c r="AL89" s="177"/>
      <c r="AM89" s="177"/>
      <c r="AN89" s="177"/>
      <c r="AO89" s="177"/>
      <c r="AP89" s="177"/>
      <c r="AQ89" s="177"/>
      <c r="AR89" s="177"/>
      <c r="AS89" s="177"/>
      <c r="AT89" s="177"/>
      <c r="AU89" s="177"/>
      <c r="AV89" s="177"/>
      <c r="AW89" s="177"/>
      <c r="AX89" s="177"/>
      <c r="AY89" s="177"/>
      <c r="AZ89" s="177"/>
      <c r="BA89" s="177"/>
      <c r="BB89" s="177"/>
      <c r="BC89" s="177"/>
      <c r="BD89" s="177"/>
      <c r="BE89" s="177"/>
      <c r="BF89" s="177"/>
      <c r="BG89" s="177"/>
      <c r="BH89" s="177"/>
      <c r="BI89" s="177"/>
      <c r="BJ89" s="177"/>
      <c r="BK89" s="177"/>
      <c r="BL89" s="177"/>
      <c r="BM89" s="177"/>
      <c r="BN89" s="177"/>
      <c r="BO89" s="177"/>
      <c r="BP89" s="177"/>
      <c r="BQ89" s="177"/>
      <c r="BR89" s="177"/>
      <c r="BS89" s="177"/>
      <c r="BT89" s="177"/>
      <c r="BU89" s="177"/>
      <c r="BV89" s="177"/>
      <c r="BW89" s="177"/>
      <c r="BX89" s="177"/>
      <c r="BY89" s="177"/>
      <c r="BZ89" s="177"/>
      <c r="CA89" s="177"/>
      <c r="CB89" s="177"/>
      <c r="CC89" s="177"/>
      <c r="CD89" s="177"/>
      <c r="CE89" s="177"/>
      <c r="CF89" s="177"/>
      <c r="CG89" s="177"/>
      <c r="CH89" s="177"/>
      <c r="CI89" s="177"/>
      <c r="CJ89" s="177"/>
      <c r="CK89" s="177"/>
      <c r="CL89" s="177"/>
      <c r="CM89" s="177"/>
      <c r="CN89" s="177"/>
      <c r="CO89" s="177"/>
      <c r="CP89" s="177"/>
      <c r="CQ89" s="177"/>
      <c r="CR89" s="177"/>
      <c r="CS89" s="177"/>
      <c r="CT89" s="177"/>
      <c r="CU89" s="177"/>
      <c r="CV89" s="177"/>
      <c r="CW89" s="177"/>
      <c r="CX89" s="177"/>
      <c r="CY89" s="177"/>
      <c r="CZ89" s="177"/>
      <c r="DA89" s="177"/>
      <c r="DB89" s="177"/>
      <c r="DC89" s="177"/>
      <c r="DD89" s="177"/>
      <c r="DE89" s="177"/>
      <c r="DF89" s="177"/>
      <c r="DG89" s="177"/>
      <c r="DH89" s="177"/>
      <c r="DI89" s="177"/>
      <c r="DJ89" s="177"/>
      <c r="DK89" s="177"/>
      <c r="DL89" s="177"/>
      <c r="DM89" s="177"/>
      <c r="DN89" s="177"/>
      <c r="DO89" s="1"/>
      <c r="DP89" s="1"/>
      <c r="DQ89" s="1"/>
      <c r="DR89" s="1"/>
      <c r="DS89" s="1"/>
      <c r="DT89" s="1"/>
      <c r="DU89" s="1"/>
      <c r="DV89" s="1"/>
      <c r="DW89" s="1"/>
      <c r="DX89" s="1"/>
      <c r="DY89" s="1"/>
      <c r="DZ89" s="1"/>
      <c r="EA89" s="1"/>
      <c r="EB89" s="1"/>
      <c r="EC89" s="1"/>
      <c r="ED89" s="1"/>
      <c r="EE89" s="1"/>
      <c r="EF89" s="1"/>
      <c r="EG89" s="1"/>
      <c r="EH89" s="1"/>
    </row>
    <row r="90" spans="1:138">
      <c r="A90" s="177"/>
      <c r="B90" s="177"/>
      <c r="C90" s="177"/>
      <c r="D90" s="177"/>
      <c r="E90" s="177"/>
      <c r="F90" s="177"/>
      <c r="G90" s="177"/>
      <c r="H90" s="177"/>
      <c r="I90" s="177"/>
      <c r="J90" s="177"/>
      <c r="K90" s="177"/>
      <c r="L90" s="177"/>
      <c r="M90" s="177"/>
      <c r="N90" s="177"/>
      <c r="O90" s="177"/>
      <c r="P90" s="177"/>
      <c r="Q90" s="177"/>
      <c r="R90" s="177"/>
      <c r="S90" s="177"/>
      <c r="T90" s="177"/>
      <c r="U90" s="177"/>
      <c r="V90" s="177"/>
      <c r="W90" s="177"/>
      <c r="X90" s="177"/>
      <c r="Y90" s="177"/>
      <c r="Z90" s="177"/>
      <c r="AA90" s="177"/>
      <c r="AB90" s="177"/>
      <c r="AC90" s="177"/>
      <c r="AD90" s="177"/>
      <c r="AE90" s="177"/>
      <c r="AF90" s="177"/>
      <c r="AG90" s="177"/>
      <c r="AH90" s="177"/>
      <c r="AI90" s="177"/>
      <c r="AJ90" s="177"/>
      <c r="AK90" s="177"/>
      <c r="AL90" s="177"/>
      <c r="AM90" s="177"/>
      <c r="AN90" s="177"/>
      <c r="AO90" s="177"/>
      <c r="AP90" s="177"/>
      <c r="AQ90" s="177"/>
      <c r="AR90" s="177"/>
      <c r="AS90" s="177"/>
      <c r="AT90" s="177"/>
      <c r="AU90" s="177"/>
      <c r="AV90" s="177"/>
      <c r="AW90" s="177"/>
      <c r="AX90" s="177"/>
      <c r="AY90" s="177"/>
      <c r="AZ90" s="177"/>
      <c r="BA90" s="177"/>
      <c r="BB90" s="177"/>
      <c r="BC90" s="177"/>
      <c r="BD90" s="177"/>
      <c r="BE90" s="177"/>
      <c r="BF90" s="177"/>
      <c r="BG90" s="177"/>
      <c r="BH90" s="177"/>
      <c r="BI90" s="177"/>
      <c r="BJ90" s="177"/>
      <c r="BK90" s="177"/>
      <c r="BL90" s="177"/>
      <c r="BM90" s="177"/>
      <c r="BN90" s="177"/>
      <c r="BO90" s="177"/>
      <c r="BP90" s="177"/>
      <c r="BQ90" s="177"/>
      <c r="BR90" s="177"/>
      <c r="BS90" s="177"/>
      <c r="BT90" s="177"/>
      <c r="BU90" s="177"/>
      <c r="BV90" s="177"/>
      <c r="BW90" s="177"/>
      <c r="BX90" s="177"/>
      <c r="BY90" s="177"/>
      <c r="BZ90" s="177"/>
      <c r="CA90" s="177"/>
      <c r="CB90" s="177"/>
      <c r="CC90" s="177"/>
      <c r="CD90" s="177"/>
      <c r="CE90" s="177"/>
      <c r="CF90" s="177"/>
      <c r="CG90" s="177"/>
      <c r="CH90" s="177"/>
      <c r="CI90" s="177"/>
      <c r="CJ90" s="177"/>
      <c r="CK90" s="177"/>
      <c r="CL90" s="177"/>
      <c r="CM90" s="177"/>
      <c r="CN90" s="177"/>
      <c r="CO90" s="177"/>
      <c r="CP90" s="177"/>
      <c r="CQ90" s="177"/>
      <c r="CR90" s="177"/>
      <c r="CS90" s="177"/>
      <c r="CT90" s="177"/>
      <c r="CU90" s="177"/>
      <c r="CV90" s="177"/>
      <c r="CW90" s="177"/>
      <c r="CX90" s="177"/>
      <c r="CY90" s="177"/>
      <c r="CZ90" s="177"/>
      <c r="DA90" s="177"/>
      <c r="DB90" s="177"/>
      <c r="DC90" s="177"/>
      <c r="DD90" s="177"/>
      <c r="DE90" s="177"/>
      <c r="DF90" s="177"/>
      <c r="DG90" s="177"/>
      <c r="DH90" s="177"/>
      <c r="DI90" s="177"/>
      <c r="DJ90" s="177"/>
      <c r="DK90" s="177"/>
      <c r="DL90" s="177"/>
      <c r="DM90" s="177"/>
      <c r="DN90" s="177"/>
      <c r="DO90" s="1"/>
      <c r="DP90" s="1"/>
      <c r="DQ90" s="1"/>
      <c r="DR90" s="1"/>
      <c r="DS90" s="1"/>
      <c r="DT90" s="1"/>
      <c r="DU90" s="1"/>
      <c r="DV90" s="1"/>
      <c r="DW90" s="1"/>
      <c r="DX90" s="1"/>
      <c r="DY90" s="1"/>
      <c r="DZ90" s="1"/>
      <c r="EA90" s="1"/>
      <c r="EB90" s="1"/>
      <c r="EC90" s="1"/>
      <c r="ED90" s="1"/>
      <c r="EE90" s="1"/>
      <c r="EF90" s="1"/>
      <c r="EG90" s="1"/>
      <c r="EH90" s="1"/>
    </row>
    <row r="91" spans="1:138">
      <c r="A91" s="177"/>
      <c r="B91" s="177"/>
      <c r="C91" s="177"/>
      <c r="D91" s="177"/>
      <c r="E91" s="177"/>
      <c r="F91" s="177"/>
      <c r="G91" s="177"/>
      <c r="H91" s="177"/>
      <c r="I91" s="177"/>
      <c r="J91" s="177"/>
      <c r="K91" s="177"/>
      <c r="L91" s="177"/>
      <c r="M91" s="177"/>
      <c r="N91" s="177"/>
      <c r="O91" s="177"/>
      <c r="P91" s="177"/>
      <c r="Q91" s="177"/>
      <c r="R91" s="177"/>
      <c r="S91" s="177"/>
      <c r="T91" s="177"/>
      <c r="U91" s="177"/>
      <c r="V91" s="177"/>
      <c r="W91" s="177"/>
      <c r="X91" s="177"/>
      <c r="Y91" s="177"/>
      <c r="Z91" s="177"/>
      <c r="AA91" s="177"/>
      <c r="AB91" s="177"/>
      <c r="AC91" s="177"/>
      <c r="AD91" s="177"/>
      <c r="AE91" s="177"/>
      <c r="AF91" s="177"/>
      <c r="AG91" s="177"/>
      <c r="AH91" s="177"/>
      <c r="AI91" s="177"/>
      <c r="AJ91" s="177"/>
      <c r="AK91" s="177"/>
      <c r="AL91" s="177"/>
      <c r="AM91" s="177"/>
      <c r="AN91" s="177"/>
      <c r="AO91" s="177"/>
      <c r="AP91" s="177"/>
      <c r="AQ91" s="177"/>
      <c r="AR91" s="177"/>
      <c r="AS91" s="177"/>
      <c r="AT91" s="177"/>
      <c r="AU91" s="177"/>
      <c r="AV91" s="177"/>
      <c r="AW91" s="177"/>
      <c r="AX91" s="177"/>
      <c r="AY91" s="177"/>
      <c r="AZ91" s="177"/>
      <c r="BA91" s="177"/>
      <c r="BB91" s="177"/>
      <c r="BC91" s="177"/>
      <c r="BD91" s="177"/>
      <c r="BE91" s="177"/>
      <c r="BF91" s="177"/>
      <c r="BG91" s="177"/>
      <c r="BH91" s="177"/>
      <c r="BI91" s="177"/>
      <c r="BJ91" s="177"/>
      <c r="BK91" s="177"/>
      <c r="BL91" s="177"/>
      <c r="BM91" s="177"/>
      <c r="BN91" s="177"/>
      <c r="BO91" s="177"/>
      <c r="BP91" s="177"/>
      <c r="BQ91" s="177"/>
      <c r="BR91" s="177"/>
      <c r="BS91" s="177"/>
      <c r="BT91" s="177"/>
      <c r="BU91" s="177"/>
      <c r="BV91" s="177"/>
      <c r="BW91" s="177"/>
      <c r="BX91" s="177"/>
      <c r="BY91" s="177"/>
      <c r="BZ91" s="177"/>
      <c r="CA91" s="177"/>
      <c r="CB91" s="177"/>
      <c r="CC91" s="177"/>
      <c r="CD91" s="177"/>
      <c r="CE91" s="177"/>
      <c r="CF91" s="177"/>
      <c r="CG91" s="177"/>
      <c r="CH91" s="177"/>
      <c r="CI91" s="177"/>
      <c r="CJ91" s="177"/>
      <c r="CK91" s="177"/>
      <c r="CL91" s="177"/>
      <c r="CM91" s="177"/>
      <c r="CN91" s="177"/>
      <c r="CO91" s="177"/>
      <c r="CP91" s="177"/>
      <c r="CQ91" s="177"/>
      <c r="CR91" s="177"/>
      <c r="CS91" s="177"/>
      <c r="CT91" s="177"/>
      <c r="CU91" s="177"/>
      <c r="CV91" s="177"/>
      <c r="CW91" s="177"/>
      <c r="CX91" s="177"/>
      <c r="CY91" s="177"/>
      <c r="CZ91" s="177"/>
      <c r="DA91" s="177"/>
      <c r="DB91" s="177"/>
      <c r="DC91" s="177"/>
      <c r="DD91" s="177"/>
      <c r="DE91" s="177"/>
      <c r="DF91" s="177"/>
      <c r="DG91" s="177"/>
      <c r="DH91" s="177"/>
      <c r="DI91" s="177"/>
      <c r="DJ91" s="177"/>
      <c r="DK91" s="177"/>
      <c r="DL91" s="177"/>
      <c r="DM91" s="177"/>
      <c r="DN91" s="177"/>
      <c r="DO91" s="1"/>
      <c r="DP91" s="1"/>
      <c r="DQ91" s="1"/>
      <c r="DR91" s="1"/>
      <c r="DS91" s="1"/>
      <c r="DT91" s="1"/>
      <c r="DU91" s="1"/>
      <c r="DV91" s="1"/>
      <c r="DW91" s="1"/>
      <c r="DX91" s="1"/>
      <c r="DY91" s="1"/>
      <c r="DZ91" s="1"/>
      <c r="EA91" s="1"/>
      <c r="EB91" s="1"/>
      <c r="EC91" s="1"/>
      <c r="ED91" s="1"/>
      <c r="EE91" s="1"/>
      <c r="EF91" s="1"/>
      <c r="EG91" s="1"/>
      <c r="EH91" s="1"/>
    </row>
    <row r="92" spans="1:138">
      <c r="A92" s="177"/>
      <c r="B92" s="177"/>
      <c r="C92" s="177"/>
      <c r="D92" s="177"/>
      <c r="E92" s="177"/>
      <c r="F92" s="177"/>
      <c r="G92" s="177"/>
      <c r="H92" s="177"/>
      <c r="I92" s="177"/>
      <c r="J92" s="177"/>
      <c r="K92" s="177"/>
      <c r="L92" s="177"/>
      <c r="M92" s="177"/>
      <c r="N92" s="177"/>
      <c r="O92" s="177"/>
      <c r="P92" s="177"/>
      <c r="Q92" s="177"/>
      <c r="R92" s="177"/>
      <c r="S92" s="177"/>
      <c r="T92" s="177"/>
      <c r="U92" s="177"/>
      <c r="V92" s="177"/>
      <c r="W92" s="177"/>
      <c r="X92" s="177"/>
      <c r="Y92" s="177"/>
      <c r="Z92" s="177"/>
      <c r="AA92" s="177"/>
      <c r="AB92" s="177"/>
      <c r="AC92" s="177"/>
      <c r="AD92" s="177"/>
      <c r="AE92" s="177"/>
      <c r="AF92" s="177"/>
      <c r="AG92" s="177"/>
      <c r="AH92" s="177"/>
      <c r="AI92" s="177"/>
      <c r="AJ92" s="177"/>
      <c r="AK92" s="177"/>
      <c r="AL92" s="177"/>
      <c r="AM92" s="177"/>
      <c r="AN92" s="177"/>
      <c r="AO92" s="177"/>
      <c r="AP92" s="177"/>
      <c r="AQ92" s="177"/>
      <c r="AR92" s="177"/>
      <c r="AS92" s="177"/>
      <c r="AT92" s="177"/>
      <c r="AU92" s="177"/>
      <c r="AV92" s="177"/>
      <c r="AW92" s="177"/>
      <c r="AX92" s="177"/>
      <c r="AY92" s="177"/>
      <c r="AZ92" s="177"/>
      <c r="BA92" s="177"/>
      <c r="BB92" s="177"/>
      <c r="BC92" s="177"/>
      <c r="BD92" s="177"/>
      <c r="BE92" s="177"/>
      <c r="BF92" s="177"/>
      <c r="BG92" s="177"/>
      <c r="BH92" s="177"/>
      <c r="BI92" s="177"/>
      <c r="BJ92" s="177"/>
      <c r="BK92" s="177"/>
      <c r="BL92" s="177"/>
      <c r="BM92" s="177"/>
      <c r="BN92" s="177"/>
      <c r="BO92" s="177"/>
      <c r="BP92" s="177"/>
      <c r="BQ92" s="177"/>
      <c r="BR92" s="177"/>
      <c r="BS92" s="177"/>
      <c r="BT92" s="177"/>
      <c r="BU92" s="177"/>
      <c r="BV92" s="177"/>
      <c r="BW92" s="177"/>
      <c r="BX92" s="177"/>
      <c r="BY92" s="177"/>
      <c r="BZ92" s="177"/>
      <c r="CA92" s="177"/>
      <c r="CB92" s="177"/>
      <c r="CC92" s="177"/>
      <c r="CD92" s="177"/>
      <c r="CE92" s="177"/>
      <c r="CF92" s="177"/>
      <c r="CG92" s="177"/>
      <c r="CH92" s="177"/>
      <c r="CI92" s="177"/>
      <c r="CJ92" s="177"/>
      <c r="CK92" s="177"/>
      <c r="CL92" s="177"/>
      <c r="CM92" s="177"/>
      <c r="CN92" s="177"/>
      <c r="CO92" s="177"/>
      <c r="CP92" s="177"/>
      <c r="CQ92" s="177"/>
      <c r="CR92" s="177"/>
      <c r="CS92" s="177"/>
      <c r="CT92" s="177"/>
      <c r="CU92" s="177"/>
      <c r="CV92" s="177"/>
      <c r="CW92" s="177"/>
      <c r="CX92" s="177"/>
      <c r="CY92" s="177"/>
      <c r="CZ92" s="177"/>
      <c r="DA92" s="177"/>
      <c r="DB92" s="177"/>
      <c r="DC92" s="177"/>
      <c r="DD92" s="177"/>
      <c r="DE92" s="177"/>
      <c r="DF92" s="177"/>
      <c r="DG92" s="177"/>
      <c r="DH92" s="177"/>
      <c r="DI92" s="177"/>
      <c r="DJ92" s="177"/>
      <c r="DK92" s="177"/>
      <c r="DL92" s="177"/>
      <c r="DM92" s="177"/>
      <c r="DN92" s="177"/>
      <c r="DO92" s="1"/>
      <c r="DP92" s="1"/>
      <c r="DQ92" s="1"/>
      <c r="DR92" s="1"/>
      <c r="DS92" s="1"/>
      <c r="DT92" s="1"/>
      <c r="DU92" s="1"/>
      <c r="DV92" s="1"/>
      <c r="DW92" s="1"/>
      <c r="DX92" s="1"/>
      <c r="DY92" s="1"/>
      <c r="DZ92" s="1"/>
      <c r="EA92" s="1"/>
      <c r="EB92" s="1"/>
      <c r="EC92" s="1"/>
      <c r="ED92" s="1"/>
      <c r="EE92" s="1"/>
      <c r="EF92" s="1"/>
      <c r="EG92" s="1"/>
      <c r="EH92" s="1"/>
    </row>
    <row r="93" spans="1:138">
      <c r="A93" s="177"/>
      <c r="B93" s="177"/>
      <c r="C93" s="177"/>
      <c r="D93" s="177"/>
      <c r="E93" s="177"/>
      <c r="F93" s="177"/>
      <c r="G93" s="177"/>
      <c r="H93" s="177"/>
      <c r="I93" s="177"/>
      <c r="J93" s="177"/>
      <c r="K93" s="177"/>
      <c r="L93" s="177"/>
      <c r="M93" s="177"/>
      <c r="N93" s="177"/>
      <c r="O93" s="177"/>
      <c r="P93" s="177"/>
      <c r="Q93" s="177"/>
      <c r="R93" s="177"/>
      <c r="S93" s="177"/>
      <c r="T93" s="177"/>
      <c r="U93" s="177"/>
      <c r="V93" s="177"/>
      <c r="W93" s="177"/>
      <c r="X93" s="177"/>
      <c r="Y93" s="177"/>
      <c r="Z93" s="177"/>
      <c r="AA93" s="177"/>
      <c r="AB93" s="177"/>
      <c r="AC93" s="177"/>
      <c r="AD93" s="177"/>
      <c r="AE93" s="177"/>
      <c r="AF93" s="177"/>
      <c r="AG93" s="177"/>
      <c r="AH93" s="177"/>
      <c r="AI93" s="177"/>
      <c r="AJ93" s="177"/>
      <c r="AK93" s="177"/>
      <c r="AL93" s="177"/>
      <c r="AM93" s="177"/>
      <c r="AN93" s="177"/>
      <c r="AO93" s="177"/>
      <c r="AP93" s="177"/>
      <c r="AQ93" s="177"/>
      <c r="AR93" s="177"/>
      <c r="AS93" s="177"/>
      <c r="AT93" s="177"/>
      <c r="AU93" s="177"/>
      <c r="AV93" s="177"/>
      <c r="AW93" s="177"/>
      <c r="AX93" s="177"/>
      <c r="AY93" s="177"/>
      <c r="AZ93" s="177"/>
      <c r="BA93" s="177"/>
      <c r="BB93" s="177"/>
      <c r="BC93" s="177"/>
      <c r="BD93" s="177"/>
      <c r="BE93" s="177"/>
      <c r="BF93" s="177"/>
      <c r="BG93" s="177"/>
      <c r="BH93" s="177"/>
      <c r="BI93" s="177"/>
      <c r="BJ93" s="177"/>
      <c r="BK93" s="177"/>
      <c r="BL93" s="177"/>
      <c r="BM93" s="177"/>
      <c r="BN93" s="177"/>
      <c r="BO93" s="177"/>
      <c r="BP93" s="177"/>
      <c r="BQ93" s="177"/>
      <c r="BR93" s="177"/>
      <c r="BS93" s="177"/>
      <c r="BT93" s="177"/>
      <c r="BU93" s="177"/>
      <c r="BV93" s="177"/>
      <c r="BW93" s="177"/>
      <c r="BX93" s="177"/>
      <c r="BY93" s="177"/>
      <c r="BZ93" s="177"/>
      <c r="CA93" s="177"/>
      <c r="CB93" s="177"/>
      <c r="CC93" s="177"/>
      <c r="CD93" s="177"/>
      <c r="CE93" s="177"/>
      <c r="CF93" s="177"/>
      <c r="CG93" s="177"/>
      <c r="CH93" s="177"/>
      <c r="CI93" s="177"/>
      <c r="CJ93" s="177"/>
      <c r="CK93" s="177"/>
      <c r="CL93" s="177"/>
      <c r="CM93" s="177"/>
      <c r="CN93" s="177"/>
      <c r="CO93" s="177"/>
      <c r="CP93" s="177"/>
      <c r="CQ93" s="177"/>
      <c r="CR93" s="177"/>
      <c r="CS93" s="177"/>
      <c r="CT93" s="177"/>
      <c r="CU93" s="177"/>
      <c r="CV93" s="177"/>
      <c r="CW93" s="177"/>
      <c r="CX93" s="177"/>
      <c r="CY93" s="177"/>
      <c r="CZ93" s="177"/>
      <c r="DA93" s="177"/>
      <c r="DB93" s="177"/>
      <c r="DC93" s="177"/>
      <c r="DD93" s="177"/>
      <c r="DE93" s="177"/>
      <c r="DF93" s="177"/>
      <c r="DG93" s="177"/>
      <c r="DH93" s="177"/>
      <c r="DI93" s="177"/>
      <c r="DJ93" s="177"/>
      <c r="DK93" s="177"/>
      <c r="DL93" s="177"/>
      <c r="DM93" s="177"/>
      <c r="DN93" s="177"/>
      <c r="DO93" s="1"/>
      <c r="DP93" s="1"/>
      <c r="DQ93" s="1"/>
      <c r="DR93" s="1"/>
      <c r="DS93" s="1"/>
      <c r="DT93" s="1"/>
      <c r="DU93" s="1"/>
      <c r="DV93" s="1"/>
      <c r="DW93" s="1"/>
      <c r="DX93" s="1"/>
      <c r="DY93" s="1"/>
      <c r="DZ93" s="1"/>
      <c r="EA93" s="1"/>
      <c r="EB93" s="1"/>
      <c r="EC93" s="1"/>
      <c r="ED93" s="1"/>
      <c r="EE93" s="1"/>
      <c r="EF93" s="1"/>
      <c r="EG93" s="1"/>
      <c r="EH93" s="1"/>
    </row>
    <row r="94" spans="1:138">
      <c r="A94" s="177"/>
      <c r="B94" s="177"/>
      <c r="C94" s="177"/>
      <c r="D94" s="177"/>
      <c r="E94" s="177"/>
      <c r="F94" s="177"/>
      <c r="G94" s="177"/>
      <c r="H94" s="177"/>
      <c r="I94" s="177"/>
      <c r="J94" s="177"/>
      <c r="K94" s="177"/>
      <c r="L94" s="177"/>
      <c r="M94" s="177"/>
      <c r="N94" s="177"/>
      <c r="O94" s="177"/>
      <c r="P94" s="177"/>
      <c r="Q94" s="177"/>
      <c r="R94" s="177"/>
      <c r="S94" s="177"/>
      <c r="T94" s="177"/>
      <c r="U94" s="177"/>
      <c r="V94" s="177"/>
      <c r="W94" s="177"/>
      <c r="X94" s="177"/>
      <c r="Y94" s="177"/>
      <c r="Z94" s="177"/>
      <c r="AA94" s="177"/>
      <c r="AB94" s="177"/>
      <c r="AC94" s="177"/>
      <c r="AD94" s="177"/>
      <c r="AE94" s="177"/>
      <c r="AF94" s="177"/>
      <c r="AG94" s="177"/>
      <c r="AH94" s="177"/>
      <c r="AI94" s="177"/>
      <c r="AJ94" s="177"/>
      <c r="AK94" s="177"/>
      <c r="AL94" s="177"/>
      <c r="AM94" s="177"/>
      <c r="AN94" s="177"/>
      <c r="AO94" s="177"/>
      <c r="AP94" s="177"/>
      <c r="AQ94" s="177"/>
      <c r="AR94" s="177"/>
      <c r="AS94" s="177"/>
      <c r="AT94" s="177"/>
      <c r="AU94" s="177"/>
      <c r="AV94" s="177"/>
      <c r="AW94" s="177"/>
      <c r="AX94" s="177"/>
      <c r="AY94" s="177"/>
      <c r="AZ94" s="177"/>
      <c r="BA94" s="177"/>
      <c r="BB94" s="177"/>
      <c r="BC94" s="177"/>
      <c r="BD94" s="177"/>
      <c r="BE94" s="177"/>
      <c r="BF94" s="177"/>
      <c r="BG94" s="177"/>
      <c r="BH94" s="177"/>
      <c r="BI94" s="177"/>
      <c r="BJ94" s="177"/>
      <c r="BK94" s="177"/>
      <c r="BL94" s="177"/>
      <c r="BM94" s="177"/>
      <c r="BN94" s="177"/>
      <c r="BO94" s="177"/>
      <c r="BP94" s="177"/>
      <c r="BQ94" s="177"/>
      <c r="BR94" s="177"/>
      <c r="BS94" s="177"/>
      <c r="BT94" s="177"/>
      <c r="BU94" s="177"/>
      <c r="BV94" s="177"/>
      <c r="BW94" s="177"/>
      <c r="BX94" s="177"/>
      <c r="BY94" s="177"/>
      <c r="BZ94" s="177"/>
      <c r="CA94" s="177"/>
      <c r="CB94" s="177"/>
      <c r="CC94" s="177"/>
      <c r="CD94" s="177"/>
      <c r="CE94" s="177"/>
      <c r="CF94" s="177"/>
      <c r="CG94" s="177"/>
      <c r="CH94" s="177"/>
      <c r="CI94" s="177"/>
      <c r="CJ94" s="177"/>
      <c r="CK94" s="177"/>
      <c r="CL94" s="177"/>
      <c r="CM94" s="177"/>
      <c r="CN94" s="177"/>
      <c r="CO94" s="177"/>
      <c r="CP94" s="177"/>
      <c r="CQ94" s="177"/>
      <c r="CR94" s="177"/>
      <c r="CS94" s="177"/>
      <c r="CT94" s="177"/>
      <c r="CU94" s="177"/>
      <c r="CV94" s="177"/>
      <c r="CW94" s="177"/>
      <c r="CX94" s="177"/>
      <c r="CY94" s="177"/>
      <c r="CZ94" s="177"/>
      <c r="DA94" s="177"/>
      <c r="DB94" s="177"/>
      <c r="DC94" s="177"/>
      <c r="DD94" s="177"/>
      <c r="DE94" s="177"/>
      <c r="DF94" s="177"/>
      <c r="DG94" s="177"/>
      <c r="DH94" s="177"/>
      <c r="DI94" s="177"/>
      <c r="DJ94" s="177"/>
      <c r="DK94" s="177"/>
      <c r="DL94" s="177"/>
      <c r="DM94" s="177"/>
      <c r="DN94" s="177"/>
      <c r="DO94" s="1"/>
      <c r="DP94" s="1"/>
      <c r="DQ94" s="1"/>
      <c r="DR94" s="1"/>
      <c r="DS94" s="1"/>
      <c r="DT94" s="1"/>
      <c r="DU94" s="1"/>
      <c r="DV94" s="1"/>
      <c r="DW94" s="1"/>
      <c r="DX94" s="1"/>
      <c r="DY94" s="1"/>
      <c r="DZ94" s="1"/>
      <c r="EA94" s="1"/>
      <c r="EB94" s="1"/>
      <c r="EC94" s="1"/>
      <c r="ED94" s="1"/>
      <c r="EE94" s="1"/>
      <c r="EF94" s="1"/>
      <c r="EG94" s="1"/>
      <c r="EH94" s="1"/>
    </row>
    <row r="95" spans="1:138">
      <c r="A95" s="177"/>
      <c r="B95" s="177"/>
      <c r="C95" s="177"/>
      <c r="D95" s="177"/>
      <c r="E95" s="177"/>
      <c r="F95" s="177"/>
      <c r="G95" s="177"/>
      <c r="H95" s="177"/>
      <c r="I95" s="177"/>
      <c r="J95" s="177"/>
      <c r="K95" s="177"/>
      <c r="L95" s="177"/>
      <c r="M95" s="177"/>
      <c r="N95" s="177"/>
      <c r="O95" s="177"/>
      <c r="P95" s="177"/>
      <c r="Q95" s="177"/>
      <c r="R95" s="177"/>
      <c r="S95" s="177"/>
      <c r="T95" s="177"/>
      <c r="U95" s="177"/>
      <c r="V95" s="177"/>
      <c r="W95" s="177"/>
      <c r="X95" s="177"/>
      <c r="Y95" s="177"/>
      <c r="Z95" s="177"/>
      <c r="AA95" s="177"/>
      <c r="AB95" s="177"/>
      <c r="AC95" s="177"/>
      <c r="AD95" s="177"/>
      <c r="AE95" s="177"/>
      <c r="AF95" s="177"/>
      <c r="AG95" s="177"/>
      <c r="AH95" s="177"/>
      <c r="AI95" s="177"/>
      <c r="AJ95" s="177"/>
      <c r="AK95" s="177"/>
      <c r="AL95" s="177"/>
      <c r="AM95" s="177"/>
      <c r="AN95" s="177"/>
      <c r="AO95" s="177"/>
      <c r="AP95" s="177"/>
      <c r="AQ95" s="177"/>
      <c r="AR95" s="177"/>
      <c r="AS95" s="177"/>
      <c r="AT95" s="177"/>
      <c r="AU95" s="177"/>
      <c r="AV95" s="177"/>
      <c r="AW95" s="177"/>
      <c r="AX95" s="177"/>
      <c r="AY95" s="177"/>
      <c r="AZ95" s="177"/>
      <c r="BA95" s="177"/>
      <c r="BB95" s="177"/>
      <c r="BC95" s="177"/>
      <c r="BD95" s="177"/>
      <c r="BE95" s="177"/>
      <c r="BF95" s="177"/>
      <c r="BG95" s="177"/>
      <c r="BH95" s="177"/>
      <c r="BI95" s="177"/>
      <c r="BJ95" s="177"/>
      <c r="BK95" s="177"/>
      <c r="BL95" s="177"/>
      <c r="BM95" s="177"/>
      <c r="BN95" s="177"/>
      <c r="BO95" s="177"/>
      <c r="BP95" s="177"/>
      <c r="BQ95" s="177"/>
      <c r="BR95" s="177"/>
      <c r="BS95" s="177"/>
      <c r="BT95" s="177"/>
      <c r="BU95" s="177"/>
      <c r="BV95" s="177"/>
      <c r="BW95" s="177"/>
      <c r="BX95" s="177"/>
      <c r="BY95" s="177"/>
      <c r="BZ95" s="177"/>
      <c r="CA95" s="177"/>
      <c r="CB95" s="177"/>
      <c r="CC95" s="177"/>
      <c r="CD95" s="177"/>
      <c r="CE95" s="177"/>
      <c r="CF95" s="177"/>
      <c r="CG95" s="177"/>
      <c r="CH95" s="177"/>
      <c r="CI95" s="177"/>
      <c r="CJ95" s="177"/>
      <c r="CK95" s="177"/>
      <c r="CL95" s="177"/>
      <c r="CM95" s="177"/>
      <c r="CN95" s="177"/>
      <c r="CO95" s="177"/>
      <c r="CP95" s="177"/>
      <c r="CQ95" s="177"/>
      <c r="CR95" s="177"/>
      <c r="CS95" s="177"/>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
      <c r="DP95" s="1"/>
      <c r="DQ95" s="1"/>
      <c r="DR95" s="1"/>
      <c r="DS95" s="1"/>
      <c r="DT95" s="1"/>
      <c r="DU95" s="1"/>
      <c r="DV95" s="1"/>
      <c r="DW95" s="1"/>
      <c r="DX95" s="1"/>
      <c r="DY95" s="1"/>
      <c r="DZ95" s="1"/>
      <c r="EA95" s="1"/>
      <c r="EB95" s="1"/>
      <c r="EC95" s="1"/>
      <c r="ED95" s="1"/>
      <c r="EE95" s="1"/>
      <c r="EF95" s="1"/>
      <c r="EG95" s="1"/>
      <c r="EH95" s="1"/>
    </row>
    <row r="96" spans="1:138">
      <c r="A96" s="177"/>
      <c r="B96" s="177"/>
      <c r="C96" s="177"/>
      <c r="D96" s="177"/>
      <c r="E96" s="177"/>
      <c r="F96" s="177"/>
      <c r="G96" s="177"/>
      <c r="H96" s="177"/>
      <c r="I96" s="177"/>
      <c r="J96" s="177"/>
      <c r="K96" s="177"/>
      <c r="L96" s="177"/>
      <c r="M96" s="177"/>
      <c r="N96" s="177"/>
      <c r="O96" s="177"/>
      <c r="P96" s="177"/>
      <c r="Q96" s="177"/>
      <c r="R96" s="177"/>
      <c r="S96" s="177"/>
      <c r="T96" s="177"/>
      <c r="U96" s="177"/>
      <c r="V96" s="177"/>
      <c r="W96" s="177"/>
      <c r="X96" s="177"/>
      <c r="Y96" s="177"/>
      <c r="Z96" s="177"/>
      <c r="AA96" s="177"/>
      <c r="AB96" s="177"/>
      <c r="AC96" s="177"/>
      <c r="AD96" s="177"/>
      <c r="AE96" s="177"/>
      <c r="AF96" s="177"/>
      <c r="AG96" s="177"/>
      <c r="AH96" s="177"/>
      <c r="AI96" s="177"/>
      <c r="AJ96" s="177"/>
      <c r="AK96" s="177"/>
      <c r="AL96" s="177"/>
      <c r="AM96" s="177"/>
      <c r="AN96" s="177"/>
      <c r="AO96" s="177"/>
      <c r="AP96" s="177"/>
      <c r="AQ96" s="177"/>
      <c r="AR96" s="177"/>
      <c r="AS96" s="177"/>
      <c r="AT96" s="177"/>
      <c r="AU96" s="177"/>
      <c r="AV96" s="177"/>
      <c r="AW96" s="177"/>
      <c r="AX96" s="177"/>
      <c r="AY96" s="177"/>
      <c r="AZ96" s="177"/>
      <c r="BA96" s="177"/>
      <c r="BB96" s="177"/>
      <c r="BC96" s="177"/>
      <c r="BD96" s="177"/>
      <c r="BE96" s="177"/>
      <c r="BF96" s="177"/>
      <c r="BG96" s="177"/>
      <c r="BH96" s="177"/>
      <c r="BI96" s="177"/>
      <c r="BJ96" s="177"/>
      <c r="BK96" s="177"/>
      <c r="BL96" s="177"/>
      <c r="BM96" s="177"/>
      <c r="BN96" s="177"/>
      <c r="BO96" s="177"/>
      <c r="BP96" s="177"/>
      <c r="BQ96" s="177"/>
      <c r="BR96" s="177"/>
      <c r="BS96" s="177"/>
      <c r="BT96" s="177"/>
      <c r="BU96" s="177"/>
      <c r="BV96" s="177"/>
      <c r="BW96" s="177"/>
      <c r="BX96" s="177"/>
      <c r="BY96" s="177"/>
      <c r="BZ96" s="177"/>
      <c r="CA96" s="177"/>
      <c r="CB96" s="177"/>
      <c r="CC96" s="177"/>
      <c r="CD96" s="177"/>
      <c r="CE96" s="177"/>
      <c r="CF96" s="177"/>
      <c r="CG96" s="177"/>
      <c r="CH96" s="177"/>
      <c r="CI96" s="177"/>
      <c r="CJ96" s="177"/>
      <c r="CK96" s="177"/>
      <c r="CL96" s="177"/>
      <c r="CM96" s="177"/>
      <c r="CN96" s="177"/>
      <c r="CO96" s="177"/>
      <c r="CP96" s="177"/>
      <c r="CQ96" s="177"/>
      <c r="CR96" s="177"/>
      <c r="CS96" s="177"/>
      <c r="CT96" s="177"/>
      <c r="CU96" s="177"/>
      <c r="CV96" s="177"/>
      <c r="CW96" s="177"/>
      <c r="CX96" s="177"/>
      <c r="CY96" s="177"/>
      <c r="CZ96" s="177"/>
      <c r="DA96" s="177"/>
      <c r="DB96" s="177"/>
      <c r="DC96" s="177"/>
      <c r="DD96" s="177"/>
      <c r="DE96" s="177"/>
      <c r="DF96" s="177"/>
      <c r="DG96" s="177"/>
      <c r="DH96" s="177"/>
      <c r="DI96" s="177"/>
      <c r="DJ96" s="177"/>
      <c r="DK96" s="177"/>
      <c r="DL96" s="177"/>
      <c r="DM96" s="177"/>
      <c r="DN96" s="177"/>
      <c r="DO96" s="1"/>
      <c r="DP96" s="1"/>
      <c r="DQ96" s="1"/>
      <c r="DR96" s="1"/>
      <c r="DS96" s="1"/>
      <c r="DT96" s="1"/>
      <c r="DU96" s="1"/>
      <c r="DV96" s="1"/>
      <c r="DW96" s="1"/>
      <c r="DX96" s="1"/>
      <c r="DY96" s="1"/>
      <c r="DZ96" s="1"/>
      <c r="EA96" s="1"/>
      <c r="EB96" s="1"/>
      <c r="EC96" s="1"/>
      <c r="ED96" s="1"/>
      <c r="EE96" s="1"/>
      <c r="EF96" s="1"/>
      <c r="EG96" s="1"/>
      <c r="EH96" s="1"/>
    </row>
    <row r="97" spans="1:138">
      <c r="A97" s="177"/>
      <c r="B97" s="177"/>
      <c r="C97" s="177"/>
      <c r="D97" s="177"/>
      <c r="E97" s="177"/>
      <c r="F97" s="177"/>
      <c r="G97" s="177"/>
      <c r="H97" s="177"/>
      <c r="I97" s="177"/>
      <c r="J97" s="177"/>
      <c r="K97" s="177"/>
      <c r="L97" s="177"/>
      <c r="M97" s="177"/>
      <c r="N97" s="177"/>
      <c r="O97" s="177"/>
      <c r="P97" s="177"/>
      <c r="Q97" s="177"/>
      <c r="R97" s="177"/>
      <c r="S97" s="177"/>
      <c r="T97" s="177"/>
      <c r="U97" s="177"/>
      <c r="V97" s="177"/>
      <c r="W97" s="177"/>
      <c r="X97" s="177"/>
      <c r="Y97" s="177"/>
      <c r="Z97" s="177"/>
      <c r="AA97" s="177"/>
      <c r="AB97" s="177"/>
      <c r="AC97" s="177"/>
      <c r="AD97" s="177"/>
      <c r="AE97" s="177"/>
      <c r="AF97" s="177"/>
      <c r="AG97" s="177"/>
      <c r="AH97" s="177"/>
      <c r="AI97" s="177"/>
      <c r="AJ97" s="177"/>
      <c r="AK97" s="177"/>
      <c r="AL97" s="177"/>
      <c r="AM97" s="177"/>
      <c r="AN97" s="177"/>
      <c r="AO97" s="177"/>
      <c r="AP97" s="177"/>
      <c r="AQ97" s="177"/>
      <c r="AR97" s="177"/>
      <c r="AS97" s="177"/>
      <c r="AT97" s="177"/>
      <c r="AU97" s="177"/>
      <c r="AV97" s="177"/>
      <c r="AW97" s="177"/>
      <c r="AX97" s="177"/>
      <c r="AY97" s="177"/>
      <c r="AZ97" s="177"/>
      <c r="BA97" s="177"/>
      <c r="BB97" s="177"/>
      <c r="BC97" s="177"/>
      <c r="BD97" s="177"/>
      <c r="BE97" s="177"/>
      <c r="BF97" s="177"/>
      <c r="BG97" s="177"/>
      <c r="BH97" s="177"/>
      <c r="BI97" s="177"/>
      <c r="BJ97" s="177"/>
      <c r="BK97" s="177"/>
      <c r="BL97" s="177"/>
      <c r="BM97" s="177"/>
      <c r="BN97" s="177"/>
      <c r="BO97" s="177"/>
      <c r="BP97" s="177"/>
      <c r="BQ97" s="177"/>
      <c r="BR97" s="177"/>
      <c r="BS97" s="177"/>
      <c r="BT97" s="177"/>
      <c r="BU97" s="177"/>
      <c r="BV97" s="177"/>
      <c r="BW97" s="177"/>
      <c r="BX97" s="177"/>
      <c r="BY97" s="177"/>
      <c r="BZ97" s="177"/>
      <c r="CA97" s="177"/>
      <c r="CB97" s="177"/>
      <c r="CC97" s="177"/>
      <c r="CD97" s="177"/>
      <c r="CE97" s="177"/>
      <c r="CF97" s="177"/>
      <c r="CG97" s="177"/>
      <c r="CH97" s="177"/>
      <c r="CI97" s="177"/>
      <c r="CJ97" s="177"/>
      <c r="CK97" s="177"/>
      <c r="CL97" s="177"/>
      <c r="CM97" s="177"/>
      <c r="CN97" s="177"/>
      <c r="CO97" s="177"/>
      <c r="CP97" s="177"/>
      <c r="CQ97" s="177"/>
      <c r="CR97" s="177"/>
      <c r="CS97" s="177"/>
      <c r="CT97" s="177"/>
      <c r="CU97" s="177"/>
      <c r="CV97" s="177"/>
      <c r="CW97" s="177"/>
      <c r="CX97" s="177"/>
      <c r="CY97" s="177"/>
      <c r="CZ97" s="177"/>
      <c r="DA97" s="177"/>
      <c r="DB97" s="177"/>
      <c r="DC97" s="177"/>
      <c r="DD97" s="177"/>
      <c r="DE97" s="177"/>
      <c r="DF97" s="177"/>
      <c r="DG97" s="177"/>
      <c r="DH97" s="177"/>
      <c r="DI97" s="177"/>
      <c r="DJ97" s="177"/>
      <c r="DK97" s="177"/>
      <c r="DL97" s="177"/>
      <c r="DM97" s="177"/>
      <c r="DN97" s="177"/>
      <c r="DO97" s="1"/>
      <c r="DP97" s="1"/>
      <c r="DQ97" s="1"/>
      <c r="DR97" s="1"/>
      <c r="DS97" s="1"/>
      <c r="DT97" s="1"/>
      <c r="DU97" s="1"/>
      <c r="DV97" s="1"/>
      <c r="DW97" s="1"/>
      <c r="DX97" s="1"/>
      <c r="DY97" s="1"/>
      <c r="DZ97" s="1"/>
      <c r="EA97" s="1"/>
      <c r="EB97" s="1"/>
      <c r="EC97" s="1"/>
      <c r="ED97" s="1"/>
      <c r="EE97" s="1"/>
      <c r="EF97" s="1"/>
      <c r="EG97" s="1"/>
      <c r="EH97" s="1"/>
    </row>
    <row r="98" spans="1:138">
      <c r="A98" s="177"/>
      <c r="B98" s="177"/>
      <c r="C98" s="177"/>
      <c r="D98" s="177"/>
      <c r="E98" s="177"/>
      <c r="F98" s="177"/>
      <c r="G98" s="177"/>
      <c r="H98" s="177"/>
      <c r="I98" s="177"/>
      <c r="J98" s="177"/>
      <c r="K98" s="177"/>
      <c r="L98" s="177"/>
      <c r="M98" s="177"/>
      <c r="N98" s="177"/>
      <c r="O98" s="177"/>
      <c r="P98" s="177"/>
      <c r="Q98" s="177"/>
      <c r="R98" s="177"/>
      <c r="S98" s="177"/>
      <c r="T98" s="177"/>
      <c r="U98" s="177"/>
      <c r="V98" s="177"/>
      <c r="W98" s="177"/>
      <c r="X98" s="177"/>
      <c r="Y98" s="177"/>
      <c r="Z98" s="177"/>
      <c r="AA98" s="177"/>
      <c r="AB98" s="177"/>
      <c r="AC98" s="177"/>
      <c r="AD98" s="177"/>
      <c r="AE98" s="177"/>
      <c r="AF98" s="177"/>
      <c r="AG98" s="177"/>
      <c r="AH98" s="177"/>
      <c r="AI98" s="177"/>
      <c r="AJ98" s="177"/>
      <c r="AK98" s="177"/>
      <c r="AL98" s="177"/>
      <c r="AM98" s="177"/>
      <c r="AN98" s="177"/>
      <c r="AO98" s="177"/>
      <c r="AP98" s="177"/>
      <c r="AQ98" s="177"/>
      <c r="AR98" s="177"/>
      <c r="AS98" s="177"/>
      <c r="AT98" s="177"/>
      <c r="AU98" s="177"/>
      <c r="AV98" s="177"/>
      <c r="AW98" s="177"/>
      <c r="AX98" s="177"/>
      <c r="AY98" s="177"/>
      <c r="AZ98" s="177"/>
      <c r="BA98" s="177"/>
      <c r="BB98" s="177"/>
      <c r="BC98" s="177"/>
      <c r="BD98" s="177"/>
      <c r="BE98" s="177"/>
      <c r="BF98" s="177"/>
      <c r="BG98" s="177"/>
      <c r="BH98" s="177"/>
      <c r="BI98" s="177"/>
      <c r="BJ98" s="177"/>
      <c r="BK98" s="177"/>
      <c r="BL98" s="177"/>
      <c r="BM98" s="177"/>
      <c r="BN98" s="177"/>
      <c r="BO98" s="177"/>
      <c r="BP98" s="177"/>
      <c r="BQ98" s="177"/>
      <c r="BR98" s="177"/>
      <c r="BS98" s="177"/>
      <c r="BT98" s="177"/>
      <c r="BU98" s="177"/>
      <c r="BV98" s="177"/>
      <c r="BW98" s="177"/>
      <c r="BX98" s="177"/>
      <c r="BY98" s="177"/>
      <c r="BZ98" s="177"/>
      <c r="CA98" s="177"/>
      <c r="CB98" s="177"/>
      <c r="CC98" s="177"/>
      <c r="CD98" s="177"/>
      <c r="CE98" s="177"/>
      <c r="CF98" s="177"/>
      <c r="CG98" s="177"/>
      <c r="CH98" s="177"/>
      <c r="CI98" s="177"/>
      <c r="CJ98" s="177"/>
      <c r="CK98" s="177"/>
      <c r="CL98" s="177"/>
      <c r="CM98" s="177"/>
      <c r="CN98" s="177"/>
      <c r="CO98" s="177"/>
      <c r="CP98" s="177"/>
      <c r="CQ98" s="177"/>
      <c r="CR98" s="177"/>
      <c r="CS98" s="177"/>
      <c r="CT98" s="177"/>
      <c r="CU98" s="177"/>
      <c r="CV98" s="177"/>
      <c r="CW98" s="177"/>
      <c r="CX98" s="177"/>
      <c r="CY98" s="177"/>
      <c r="CZ98" s="177"/>
      <c r="DA98" s="177"/>
      <c r="DB98" s="177"/>
      <c r="DC98" s="177"/>
      <c r="DD98" s="177"/>
      <c r="DE98" s="177"/>
      <c r="DF98" s="177"/>
      <c r="DG98" s="177"/>
      <c r="DH98" s="177"/>
      <c r="DI98" s="177"/>
      <c r="DJ98" s="177"/>
      <c r="DK98" s="177"/>
      <c r="DL98" s="177"/>
      <c r="DM98" s="177"/>
      <c r="DN98" s="177"/>
      <c r="DO98" s="1"/>
      <c r="DP98" s="1"/>
      <c r="DQ98" s="1"/>
      <c r="DR98" s="1"/>
      <c r="DS98" s="1"/>
      <c r="DT98" s="1"/>
      <c r="DU98" s="1"/>
      <c r="DV98" s="1"/>
      <c r="DW98" s="1"/>
      <c r="DX98" s="1"/>
      <c r="DY98" s="1"/>
      <c r="DZ98" s="1"/>
      <c r="EA98" s="1"/>
      <c r="EB98" s="1"/>
      <c r="EC98" s="1"/>
      <c r="ED98" s="1"/>
      <c r="EE98" s="1"/>
      <c r="EF98" s="1"/>
      <c r="EG98" s="1"/>
      <c r="EH98" s="1"/>
    </row>
    <row r="99" spans="1:138">
      <c r="A99" s="177"/>
      <c r="B99" s="177"/>
      <c r="C99" s="177"/>
      <c r="D99" s="177"/>
      <c r="E99" s="177"/>
      <c r="F99" s="177"/>
      <c r="G99" s="177"/>
      <c r="H99" s="177"/>
      <c r="I99" s="177"/>
      <c r="J99" s="177"/>
      <c r="K99" s="177"/>
      <c r="L99" s="177"/>
      <c r="M99" s="177"/>
      <c r="N99" s="177"/>
      <c r="O99" s="177"/>
      <c r="P99" s="177"/>
      <c r="Q99" s="177"/>
      <c r="R99" s="177"/>
      <c r="S99" s="177"/>
      <c r="T99" s="177"/>
      <c r="U99" s="177"/>
      <c r="V99" s="177"/>
      <c r="W99" s="177"/>
      <c r="X99" s="177"/>
      <c r="Y99" s="177"/>
      <c r="Z99" s="177"/>
      <c r="AA99" s="177"/>
      <c r="AB99" s="177"/>
      <c r="AC99" s="177"/>
      <c r="AD99" s="177"/>
      <c r="AE99" s="177"/>
      <c r="AF99" s="177"/>
      <c r="AG99" s="177"/>
      <c r="AH99" s="177"/>
      <c r="AI99" s="177"/>
      <c r="AJ99" s="177"/>
      <c r="AK99" s="177"/>
      <c r="AL99" s="177"/>
      <c r="AM99" s="177"/>
      <c r="AN99" s="177"/>
      <c r="AO99" s="177"/>
      <c r="AP99" s="177"/>
      <c r="AQ99" s="177"/>
      <c r="AR99" s="177"/>
      <c r="AS99" s="177"/>
      <c r="AT99" s="177"/>
      <c r="AU99" s="177"/>
      <c r="AV99" s="177"/>
      <c r="AW99" s="177"/>
      <c r="AX99" s="177"/>
      <c r="AY99" s="177"/>
      <c r="AZ99" s="177"/>
      <c r="BA99" s="177"/>
      <c r="BB99" s="177"/>
      <c r="BC99" s="177"/>
      <c r="BD99" s="177"/>
      <c r="BE99" s="177"/>
      <c r="BF99" s="177"/>
      <c r="BG99" s="177"/>
      <c r="BH99" s="177"/>
      <c r="BI99" s="177"/>
      <c r="BJ99" s="177"/>
      <c r="BK99" s="177"/>
      <c r="BL99" s="177"/>
      <c r="BM99" s="177"/>
      <c r="BN99" s="177"/>
      <c r="BO99" s="177"/>
      <c r="BP99" s="177"/>
      <c r="BQ99" s="177"/>
      <c r="BR99" s="177"/>
      <c r="BS99" s="177"/>
      <c r="BT99" s="177"/>
      <c r="BU99" s="177"/>
      <c r="BV99" s="177"/>
      <c r="BW99" s="177"/>
      <c r="BX99" s="177"/>
      <c r="BY99" s="177"/>
      <c r="BZ99" s="177"/>
      <c r="CA99" s="177"/>
      <c r="CB99" s="177"/>
      <c r="CC99" s="177"/>
      <c r="CD99" s="177"/>
      <c r="CE99" s="177"/>
      <c r="CF99" s="177"/>
      <c r="CG99" s="177"/>
      <c r="CH99" s="177"/>
      <c r="CI99" s="177"/>
      <c r="CJ99" s="177"/>
      <c r="CK99" s="177"/>
      <c r="CL99" s="177"/>
      <c r="CM99" s="177"/>
      <c r="CN99" s="177"/>
      <c r="CO99" s="177"/>
      <c r="CP99" s="177"/>
      <c r="CQ99" s="177"/>
      <c r="CR99" s="177"/>
      <c r="CS99" s="177"/>
      <c r="CT99" s="177"/>
      <c r="CU99" s="177"/>
      <c r="CV99" s="177"/>
      <c r="CW99" s="177"/>
      <c r="CX99" s="177"/>
      <c r="CY99" s="177"/>
      <c r="CZ99" s="177"/>
      <c r="DA99" s="177"/>
      <c r="DB99" s="177"/>
      <c r="DC99" s="177"/>
      <c r="DD99" s="177"/>
      <c r="DE99" s="177"/>
      <c r="DF99" s="177"/>
      <c r="DG99" s="177"/>
      <c r="DH99" s="177"/>
      <c r="DI99" s="177"/>
      <c r="DJ99" s="177"/>
      <c r="DK99" s="177"/>
      <c r="DL99" s="177"/>
      <c r="DM99" s="177"/>
      <c r="DN99" s="177"/>
      <c r="DO99" s="1"/>
      <c r="DP99" s="1"/>
      <c r="DQ99" s="1"/>
      <c r="DR99" s="1"/>
      <c r="DS99" s="1"/>
      <c r="DT99" s="1"/>
      <c r="DU99" s="1"/>
      <c r="DV99" s="1"/>
      <c r="DW99" s="1"/>
      <c r="DX99" s="1"/>
      <c r="DY99" s="1"/>
      <c r="DZ99" s="1"/>
      <c r="EA99" s="1"/>
      <c r="EB99" s="1"/>
      <c r="EC99" s="1"/>
      <c r="ED99" s="1"/>
      <c r="EE99" s="1"/>
      <c r="EF99" s="1"/>
      <c r="EG99" s="1"/>
      <c r="EH99" s="1"/>
    </row>
    <row r="100" spans="1:138">
      <c r="A100" s="177"/>
      <c r="B100" s="177"/>
      <c r="C100" s="177"/>
      <c r="D100" s="177"/>
      <c r="E100" s="177"/>
      <c r="F100" s="177"/>
      <c r="G100" s="177"/>
      <c r="H100" s="177"/>
      <c r="I100" s="177"/>
      <c r="J100" s="177"/>
      <c r="K100" s="177"/>
      <c r="L100" s="177"/>
      <c r="M100" s="177"/>
      <c r="N100" s="177"/>
      <c r="O100" s="177"/>
      <c r="P100" s="177"/>
      <c r="Q100" s="177"/>
      <c r="R100" s="177"/>
      <c r="S100" s="177"/>
      <c r="T100" s="177"/>
      <c r="U100" s="177"/>
      <c r="V100" s="177"/>
      <c r="W100" s="177"/>
      <c r="X100" s="177"/>
      <c r="Y100" s="177"/>
      <c r="Z100" s="177"/>
      <c r="AA100" s="177"/>
      <c r="AB100" s="177"/>
      <c r="AC100" s="177"/>
      <c r="AD100" s="177"/>
      <c r="AE100" s="177"/>
      <c r="AF100" s="177"/>
      <c r="AG100" s="177"/>
      <c r="AH100" s="177"/>
      <c r="AI100" s="177"/>
      <c r="AJ100" s="177"/>
      <c r="AK100" s="177"/>
      <c r="AL100" s="177"/>
      <c r="AM100" s="177"/>
      <c r="AN100" s="177"/>
      <c r="AO100" s="177"/>
      <c r="AP100" s="177"/>
      <c r="AQ100" s="177"/>
      <c r="AR100" s="177"/>
      <c r="AS100" s="177"/>
      <c r="AT100" s="177"/>
      <c r="AU100" s="177"/>
      <c r="AV100" s="177"/>
      <c r="AW100" s="177"/>
      <c r="AX100" s="177"/>
      <c r="AY100" s="177"/>
      <c r="AZ100" s="177"/>
      <c r="BA100" s="177"/>
      <c r="BB100" s="177"/>
      <c r="BC100" s="177"/>
      <c r="BD100" s="177"/>
      <c r="BE100" s="177"/>
      <c r="BF100" s="177"/>
      <c r="BG100" s="177"/>
      <c r="BH100" s="177"/>
      <c r="BI100" s="177"/>
      <c r="BJ100" s="177"/>
      <c r="BK100" s="177"/>
      <c r="BL100" s="177"/>
      <c r="BM100" s="177"/>
      <c r="BN100" s="177"/>
      <c r="BO100" s="177"/>
      <c r="BP100" s="177"/>
      <c r="BQ100" s="177"/>
      <c r="BR100" s="177"/>
      <c r="BS100" s="177"/>
      <c r="BT100" s="177"/>
      <c r="BU100" s="177"/>
      <c r="BV100" s="177"/>
      <c r="BW100" s="177"/>
      <c r="BX100" s="177"/>
      <c r="BY100" s="177"/>
      <c r="BZ100" s="177"/>
      <c r="CA100" s="177"/>
      <c r="CB100" s="177"/>
      <c r="CC100" s="177"/>
      <c r="CD100" s="177"/>
      <c r="CE100" s="177"/>
      <c r="CF100" s="177"/>
      <c r="CG100" s="177"/>
      <c r="CH100" s="177"/>
      <c r="CI100" s="177"/>
      <c r="CJ100" s="177"/>
      <c r="CK100" s="177"/>
      <c r="CL100" s="177"/>
      <c r="CM100" s="177"/>
      <c r="CN100" s="177"/>
      <c r="CO100" s="177"/>
      <c r="CP100" s="177"/>
      <c r="CQ100" s="177"/>
      <c r="CR100" s="177"/>
      <c r="CS100" s="177"/>
      <c r="CT100" s="177"/>
      <c r="CU100" s="177"/>
      <c r="CV100" s="177"/>
      <c r="CW100" s="177"/>
      <c r="CX100" s="177"/>
      <c r="CY100" s="177"/>
      <c r="CZ100" s="177"/>
      <c r="DA100" s="177"/>
      <c r="DB100" s="177"/>
      <c r="DC100" s="177"/>
      <c r="DD100" s="177"/>
      <c r="DE100" s="177"/>
      <c r="DF100" s="177"/>
      <c r="DG100" s="177"/>
      <c r="DH100" s="177"/>
      <c r="DI100" s="177"/>
      <c r="DJ100" s="177"/>
      <c r="DK100" s="177"/>
      <c r="DL100" s="177"/>
      <c r="DM100" s="177"/>
      <c r="DN100" s="177"/>
      <c r="DO100" s="1"/>
      <c r="DP100" s="1"/>
      <c r="DQ100" s="1"/>
      <c r="DR100" s="1"/>
      <c r="DS100" s="1"/>
      <c r="DT100" s="1"/>
      <c r="DU100" s="1"/>
      <c r="DV100" s="1"/>
      <c r="DW100" s="1"/>
      <c r="DX100" s="1"/>
      <c r="DY100" s="1"/>
      <c r="DZ100" s="1"/>
      <c r="EA100" s="1"/>
      <c r="EB100" s="1"/>
      <c r="EC100" s="1"/>
      <c r="ED100" s="1"/>
      <c r="EE100" s="1"/>
      <c r="EF100" s="1"/>
      <c r="EG100" s="1"/>
      <c r="EH100" s="1"/>
    </row>
    <row r="101" spans="1:138">
      <c r="A101" s="177"/>
      <c r="B101" s="177"/>
      <c r="C101" s="177"/>
      <c r="D101" s="177"/>
      <c r="E101" s="177"/>
      <c r="F101" s="177"/>
      <c r="G101" s="177"/>
      <c r="H101" s="177"/>
      <c r="I101" s="177"/>
      <c r="J101" s="177"/>
      <c r="K101" s="177"/>
      <c r="L101" s="177"/>
      <c r="M101" s="177"/>
      <c r="N101" s="177"/>
      <c r="O101" s="177"/>
      <c r="P101" s="177"/>
      <c r="Q101" s="177"/>
      <c r="R101" s="177"/>
      <c r="S101" s="177"/>
      <c r="T101" s="177"/>
      <c r="U101" s="177"/>
      <c r="V101" s="177"/>
      <c r="W101" s="177"/>
      <c r="X101" s="177"/>
      <c r="Y101" s="177"/>
      <c r="Z101" s="177"/>
      <c r="AA101" s="177"/>
      <c r="AB101" s="177"/>
      <c r="AC101" s="177"/>
      <c r="AD101" s="177"/>
      <c r="AE101" s="177"/>
      <c r="AF101" s="177"/>
      <c r="AG101" s="177"/>
      <c r="AH101" s="177"/>
      <c r="AI101" s="177"/>
      <c r="AJ101" s="177"/>
      <c r="AK101" s="177"/>
      <c r="AL101" s="177"/>
      <c r="AM101" s="177"/>
      <c r="AN101" s="177"/>
      <c r="AO101" s="177"/>
      <c r="AP101" s="177"/>
      <c r="AQ101" s="177"/>
      <c r="AR101" s="177"/>
      <c r="AS101" s="177"/>
      <c r="AT101" s="177"/>
      <c r="AU101" s="177"/>
      <c r="AV101" s="177"/>
      <c r="AW101" s="177"/>
      <c r="AX101" s="177"/>
      <c r="AY101" s="177"/>
      <c r="AZ101" s="177"/>
      <c r="BA101" s="177"/>
      <c r="BB101" s="177"/>
      <c r="BC101" s="177"/>
      <c r="BD101" s="177"/>
      <c r="BE101" s="177"/>
      <c r="BF101" s="177"/>
      <c r="BG101" s="177"/>
      <c r="BH101" s="177"/>
      <c r="BI101" s="177"/>
      <c r="BJ101" s="177"/>
      <c r="BK101" s="177"/>
      <c r="BL101" s="177"/>
      <c r="BM101" s="177"/>
      <c r="BN101" s="177"/>
      <c r="BO101" s="177"/>
      <c r="BP101" s="177"/>
      <c r="BQ101" s="177"/>
      <c r="BR101" s="177"/>
      <c r="BS101" s="177"/>
      <c r="BT101" s="177"/>
      <c r="BU101" s="177"/>
      <c r="BV101" s="177"/>
      <c r="BW101" s="177"/>
      <c r="BX101" s="177"/>
      <c r="BY101" s="177"/>
      <c r="BZ101" s="177"/>
      <c r="CA101" s="177"/>
      <c r="CB101" s="177"/>
      <c r="CC101" s="177"/>
      <c r="CD101" s="177"/>
      <c r="CE101" s="177"/>
      <c r="CF101" s="177"/>
      <c r="CG101" s="177"/>
      <c r="CH101" s="177"/>
      <c r="CI101" s="177"/>
      <c r="CJ101" s="177"/>
      <c r="CK101" s="177"/>
      <c r="CL101" s="177"/>
      <c r="CM101" s="177"/>
      <c r="CN101" s="177"/>
      <c r="CO101" s="177"/>
      <c r="CP101" s="177"/>
      <c r="CQ101" s="177"/>
      <c r="CR101" s="177"/>
      <c r="CS101" s="177"/>
      <c r="CT101" s="177"/>
      <c r="CU101" s="177"/>
      <c r="CV101" s="177"/>
      <c r="CW101" s="177"/>
      <c r="CX101" s="177"/>
      <c r="CY101" s="177"/>
      <c r="CZ101" s="177"/>
      <c r="DA101" s="177"/>
      <c r="DB101" s="177"/>
      <c r="DC101" s="177"/>
      <c r="DD101" s="177"/>
      <c r="DE101" s="177"/>
      <c r="DF101" s="177"/>
      <c r="DG101" s="177"/>
      <c r="DH101" s="177"/>
      <c r="DI101" s="177"/>
      <c r="DJ101" s="177"/>
      <c r="DK101" s="177"/>
      <c r="DL101" s="177"/>
      <c r="DM101" s="177"/>
      <c r="DN101" s="177"/>
      <c r="DO101" s="1"/>
      <c r="DP101" s="1"/>
      <c r="DQ101" s="1"/>
      <c r="DR101" s="1"/>
      <c r="DS101" s="1"/>
      <c r="DT101" s="1"/>
      <c r="DU101" s="1"/>
      <c r="DV101" s="1"/>
      <c r="DW101" s="1"/>
      <c r="DX101" s="1"/>
      <c r="DY101" s="1"/>
      <c r="DZ101" s="1"/>
      <c r="EA101" s="1"/>
      <c r="EB101" s="1"/>
      <c r="EC101" s="1"/>
      <c r="ED101" s="1"/>
      <c r="EE101" s="1"/>
      <c r="EF101" s="1"/>
      <c r="EG101" s="1"/>
      <c r="EH101" s="1"/>
    </row>
    <row r="102" spans="1:138">
      <c r="A102" s="177"/>
      <c r="B102" s="177"/>
      <c r="C102" s="177"/>
      <c r="D102" s="177"/>
      <c r="E102" s="177"/>
      <c r="F102" s="177"/>
      <c r="G102" s="177"/>
      <c r="H102" s="177"/>
      <c r="I102" s="177"/>
      <c r="J102" s="177"/>
      <c r="K102" s="177"/>
      <c r="L102" s="177"/>
      <c r="M102" s="177"/>
      <c r="N102" s="177"/>
      <c r="O102" s="177"/>
      <c r="P102" s="177"/>
      <c r="Q102" s="177"/>
      <c r="R102" s="177"/>
      <c r="S102" s="177"/>
      <c r="T102" s="177"/>
      <c r="U102" s="177"/>
      <c r="V102" s="177"/>
      <c r="W102" s="177"/>
      <c r="X102" s="177"/>
      <c r="Y102" s="177"/>
      <c r="Z102" s="177"/>
      <c r="AA102" s="177"/>
      <c r="AB102" s="177"/>
      <c r="AC102" s="177"/>
      <c r="AD102" s="177"/>
      <c r="AE102" s="177"/>
      <c r="AF102" s="177"/>
      <c r="AG102" s="177"/>
      <c r="AH102" s="177"/>
      <c r="AI102" s="177"/>
      <c r="AJ102" s="177"/>
      <c r="AK102" s="177"/>
      <c r="AL102" s="177"/>
      <c r="AM102" s="177"/>
      <c r="AN102" s="177"/>
      <c r="AO102" s="177"/>
      <c r="AP102" s="177"/>
      <c r="AQ102" s="177"/>
      <c r="AR102" s="177"/>
      <c r="AS102" s="177"/>
      <c r="AT102" s="177"/>
      <c r="AU102" s="177"/>
      <c r="AV102" s="177"/>
      <c r="AW102" s="177"/>
      <c r="AX102" s="177"/>
      <c r="AY102" s="177"/>
      <c r="AZ102" s="177"/>
      <c r="BA102" s="177"/>
      <c r="BB102" s="177"/>
      <c r="BC102" s="177"/>
      <c r="BD102" s="177"/>
      <c r="BE102" s="177"/>
      <c r="BF102" s="177"/>
      <c r="BG102" s="177"/>
      <c r="BH102" s="177"/>
      <c r="BI102" s="177"/>
      <c r="BJ102" s="177"/>
      <c r="BK102" s="177"/>
      <c r="BL102" s="177"/>
      <c r="BM102" s="177"/>
      <c r="BN102" s="177"/>
      <c r="BO102" s="177"/>
      <c r="BP102" s="177"/>
      <c r="BQ102" s="177"/>
      <c r="BR102" s="177"/>
      <c r="BS102" s="177"/>
      <c r="BT102" s="177"/>
      <c r="BU102" s="177"/>
      <c r="BV102" s="177"/>
      <c r="BW102" s="177"/>
      <c r="BX102" s="177"/>
      <c r="BY102" s="177"/>
      <c r="BZ102" s="177"/>
      <c r="CA102" s="177"/>
      <c r="CB102" s="177"/>
      <c r="CC102" s="177"/>
      <c r="CD102" s="177"/>
      <c r="CE102" s="177"/>
      <c r="CF102" s="177"/>
      <c r="CG102" s="177"/>
      <c r="CH102" s="177"/>
      <c r="CI102" s="177"/>
      <c r="CJ102" s="177"/>
      <c r="CK102" s="177"/>
      <c r="CL102" s="177"/>
      <c r="CM102" s="177"/>
      <c r="CN102" s="177"/>
      <c r="CO102" s="177"/>
      <c r="CP102" s="177"/>
      <c r="CQ102" s="177"/>
      <c r="CR102" s="177"/>
      <c r="CS102" s="177"/>
      <c r="CT102" s="177"/>
      <c r="CU102" s="177"/>
      <c r="CV102" s="177"/>
      <c r="CW102" s="177"/>
      <c r="CX102" s="177"/>
      <c r="CY102" s="177"/>
      <c r="CZ102" s="177"/>
      <c r="DA102" s="177"/>
      <c r="DB102" s="177"/>
      <c r="DC102" s="177"/>
      <c r="DD102" s="177"/>
      <c r="DE102" s="177"/>
      <c r="DF102" s="177"/>
      <c r="DG102" s="177"/>
      <c r="DH102" s="177"/>
      <c r="DI102" s="177"/>
      <c r="DJ102" s="177"/>
      <c r="DK102" s="177"/>
      <c r="DL102" s="177"/>
      <c r="DM102" s="177"/>
      <c r="DN102" s="177"/>
      <c r="DO102" s="1"/>
      <c r="DP102" s="1"/>
      <c r="DQ102" s="1"/>
      <c r="DR102" s="1"/>
      <c r="DS102" s="1"/>
      <c r="DT102" s="1"/>
      <c r="DU102" s="1"/>
      <c r="DV102" s="1"/>
      <c r="DW102" s="1"/>
      <c r="DX102" s="1"/>
      <c r="DY102" s="1"/>
      <c r="DZ102" s="1"/>
      <c r="EA102" s="1"/>
      <c r="EB102" s="1"/>
      <c r="EC102" s="1"/>
      <c r="ED102" s="1"/>
      <c r="EE102" s="1"/>
      <c r="EF102" s="1"/>
      <c r="EG102" s="1"/>
      <c r="EH102" s="1"/>
    </row>
    <row r="103" spans="1:138">
      <c r="A103" s="177"/>
      <c r="B103" s="177"/>
      <c r="C103" s="177"/>
      <c r="D103" s="177"/>
      <c r="E103" s="177"/>
      <c r="F103" s="177"/>
      <c r="G103" s="177"/>
      <c r="H103" s="177"/>
      <c r="I103" s="177"/>
      <c r="J103" s="177"/>
      <c r="K103" s="177"/>
      <c r="L103" s="177"/>
      <c r="M103" s="177"/>
      <c r="N103" s="177"/>
      <c r="O103" s="177"/>
      <c r="P103" s="177"/>
      <c r="Q103" s="177"/>
      <c r="R103" s="177"/>
      <c r="S103" s="177"/>
      <c r="T103" s="177"/>
      <c r="U103" s="177"/>
      <c r="V103" s="177"/>
      <c r="W103" s="177"/>
      <c r="X103" s="177"/>
      <c r="Y103" s="177"/>
      <c r="Z103" s="177"/>
      <c r="AA103" s="177"/>
      <c r="AB103" s="177"/>
      <c r="AC103" s="177"/>
      <c r="AD103" s="177"/>
      <c r="AE103" s="177"/>
      <c r="AF103" s="177"/>
      <c r="AG103" s="177"/>
      <c r="AH103" s="177"/>
      <c r="AI103" s="177"/>
      <c r="AJ103" s="177"/>
      <c r="AK103" s="177"/>
      <c r="AL103" s="177"/>
      <c r="AM103" s="177"/>
      <c r="AN103" s="177"/>
      <c r="AO103" s="177"/>
      <c r="AP103" s="177"/>
      <c r="AQ103" s="177"/>
      <c r="AR103" s="177"/>
      <c r="AS103" s="177"/>
      <c r="AT103" s="177"/>
      <c r="AU103" s="177"/>
      <c r="AV103" s="177"/>
      <c r="AW103" s="177"/>
      <c r="AX103" s="177"/>
      <c r="AY103" s="177"/>
      <c r="AZ103" s="177"/>
      <c r="BA103" s="177"/>
      <c r="BB103" s="177"/>
      <c r="BC103" s="177"/>
      <c r="BD103" s="177"/>
      <c r="BE103" s="177"/>
      <c r="BF103" s="177"/>
      <c r="BG103" s="177"/>
      <c r="BH103" s="177"/>
      <c r="BI103" s="177"/>
      <c r="BJ103" s="177"/>
      <c r="BK103" s="177"/>
      <c r="BL103" s="177"/>
      <c r="BM103" s="177"/>
      <c r="BN103" s="177"/>
      <c r="BO103" s="177"/>
      <c r="BP103" s="177"/>
      <c r="BQ103" s="177"/>
      <c r="BR103" s="177"/>
      <c r="BS103" s="177"/>
      <c r="BT103" s="177"/>
      <c r="BU103" s="177"/>
      <c r="BV103" s="177"/>
      <c r="BW103" s="177"/>
      <c r="BX103" s="177"/>
      <c r="BY103" s="177"/>
      <c r="BZ103" s="177"/>
      <c r="CA103" s="177"/>
      <c r="CB103" s="177"/>
      <c r="CC103" s="177"/>
      <c r="CD103" s="177"/>
      <c r="CE103" s="177"/>
      <c r="CF103" s="177"/>
      <c r="CG103" s="177"/>
      <c r="CH103" s="177"/>
      <c r="CI103" s="177"/>
      <c r="CJ103" s="177"/>
      <c r="CK103" s="177"/>
      <c r="CL103" s="177"/>
      <c r="CM103" s="177"/>
      <c r="CN103" s="177"/>
      <c r="CO103" s="177"/>
      <c r="CP103" s="177"/>
      <c r="CQ103" s="177"/>
      <c r="CR103" s="177"/>
      <c r="CS103" s="177"/>
      <c r="CT103" s="177"/>
      <c r="CU103" s="177"/>
      <c r="CV103" s="177"/>
      <c r="CW103" s="177"/>
      <c r="CX103" s="177"/>
      <c r="CY103" s="177"/>
      <c r="CZ103" s="177"/>
      <c r="DA103" s="177"/>
      <c r="DB103" s="177"/>
      <c r="DC103" s="177"/>
      <c r="DD103" s="177"/>
      <c r="DE103" s="177"/>
      <c r="DF103" s="177"/>
      <c r="DG103" s="177"/>
      <c r="DH103" s="177"/>
      <c r="DI103" s="177"/>
      <c r="DJ103" s="177"/>
      <c r="DK103" s="177"/>
      <c r="DL103" s="177"/>
      <c r="DM103" s="177"/>
      <c r="DN103" s="177"/>
      <c r="DO103" s="1"/>
      <c r="DP103" s="1"/>
      <c r="DQ103" s="1"/>
      <c r="DR103" s="1"/>
      <c r="DS103" s="1"/>
      <c r="DT103" s="1"/>
      <c r="DU103" s="1"/>
      <c r="DV103" s="1"/>
      <c r="DW103" s="1"/>
      <c r="DX103" s="1"/>
      <c r="DY103" s="1"/>
      <c r="DZ103" s="1"/>
      <c r="EA103" s="1"/>
      <c r="EB103" s="1"/>
      <c r="EC103" s="1"/>
      <c r="ED103" s="1"/>
      <c r="EE103" s="1"/>
      <c r="EF103" s="1"/>
      <c r="EG103" s="1"/>
      <c r="EH103" s="1"/>
    </row>
    <row r="104" spans="1:138">
      <c r="A104" s="177"/>
      <c r="B104" s="177"/>
      <c r="C104" s="177"/>
      <c r="D104" s="177"/>
      <c r="E104" s="177"/>
      <c r="F104" s="177"/>
      <c r="G104" s="177"/>
      <c r="H104" s="177"/>
      <c r="I104" s="177"/>
      <c r="J104" s="177"/>
      <c r="K104" s="177"/>
      <c r="L104" s="177"/>
      <c r="M104" s="177"/>
      <c r="N104" s="177"/>
      <c r="O104" s="177"/>
      <c r="P104" s="177"/>
      <c r="Q104" s="177"/>
      <c r="R104" s="177"/>
      <c r="S104" s="177"/>
      <c r="T104" s="177"/>
      <c r="U104" s="177"/>
      <c r="V104" s="177"/>
      <c r="W104" s="177"/>
      <c r="X104" s="177"/>
      <c r="Y104" s="177"/>
      <c r="Z104" s="177"/>
      <c r="AA104" s="177"/>
      <c r="AB104" s="177"/>
      <c r="AC104" s="177"/>
      <c r="AD104" s="177"/>
      <c r="AE104" s="177"/>
      <c r="AF104" s="177"/>
      <c r="AG104" s="177"/>
      <c r="AH104" s="177"/>
      <c r="AI104" s="177"/>
      <c r="AJ104" s="177"/>
      <c r="AK104" s="177"/>
      <c r="AL104" s="177"/>
      <c r="AM104" s="177"/>
      <c r="AN104" s="177"/>
      <c r="AO104" s="177"/>
      <c r="AP104" s="177"/>
      <c r="AQ104" s="177"/>
      <c r="AR104" s="177"/>
      <c r="AS104" s="177"/>
      <c r="AT104" s="177"/>
      <c r="AU104" s="177"/>
      <c r="AV104" s="177"/>
      <c r="AW104" s="177"/>
      <c r="AX104" s="177"/>
      <c r="AY104" s="177"/>
      <c r="AZ104" s="177"/>
      <c r="BA104" s="177"/>
      <c r="BB104" s="177"/>
      <c r="BC104" s="177"/>
      <c r="BD104" s="177"/>
      <c r="BE104" s="177"/>
      <c r="BF104" s="177"/>
      <c r="BG104" s="177"/>
      <c r="BH104" s="177"/>
      <c r="BI104" s="177"/>
      <c r="BJ104" s="177"/>
      <c r="BK104" s="177"/>
      <c r="BL104" s="177"/>
      <c r="BM104" s="177"/>
      <c r="BN104" s="177"/>
      <c r="BO104" s="177"/>
      <c r="BP104" s="177"/>
      <c r="BQ104" s="177"/>
      <c r="BR104" s="177"/>
      <c r="BS104" s="177"/>
      <c r="BT104" s="177"/>
      <c r="BU104" s="177"/>
      <c r="BV104" s="177"/>
      <c r="BW104" s="177"/>
      <c r="BX104" s="177"/>
      <c r="BY104" s="177"/>
      <c r="BZ104" s="177"/>
      <c r="CA104" s="177"/>
      <c r="CB104" s="177"/>
      <c r="CC104" s="177"/>
      <c r="CD104" s="177"/>
      <c r="CE104" s="177"/>
      <c r="CF104" s="177"/>
      <c r="CG104" s="177"/>
      <c r="CH104" s="177"/>
      <c r="CI104" s="177"/>
      <c r="CJ104" s="177"/>
      <c r="CK104" s="177"/>
      <c r="CL104" s="177"/>
      <c r="CM104" s="177"/>
      <c r="CN104" s="177"/>
      <c r="CO104" s="177"/>
      <c r="CP104" s="177"/>
      <c r="CQ104" s="177"/>
      <c r="CR104" s="177"/>
      <c r="CS104" s="177"/>
      <c r="CT104" s="177"/>
      <c r="CU104" s="177"/>
      <c r="CV104" s="177"/>
      <c r="CW104" s="177"/>
      <c r="CX104" s="177"/>
      <c r="CY104" s="177"/>
      <c r="CZ104" s="177"/>
      <c r="DA104" s="177"/>
      <c r="DB104" s="177"/>
      <c r="DC104" s="177"/>
      <c r="DD104" s="177"/>
      <c r="DE104" s="177"/>
      <c r="DF104" s="177"/>
      <c r="DG104" s="177"/>
      <c r="DH104" s="177"/>
      <c r="DI104" s="177"/>
      <c r="DJ104" s="177"/>
      <c r="DK104" s="177"/>
      <c r="DL104" s="177"/>
      <c r="DM104" s="177"/>
      <c r="DN104" s="177"/>
      <c r="DO104" s="1"/>
      <c r="DP104" s="1"/>
      <c r="DQ104" s="1"/>
      <c r="DR104" s="1"/>
      <c r="DS104" s="1"/>
      <c r="DT104" s="1"/>
      <c r="DU104" s="1"/>
      <c r="DV104" s="1"/>
      <c r="DW104" s="1"/>
      <c r="DX104" s="1"/>
      <c r="DY104" s="1"/>
      <c r="DZ104" s="1"/>
      <c r="EA104" s="1"/>
      <c r="EB104" s="1"/>
      <c r="EC104" s="1"/>
      <c r="ED104" s="1"/>
      <c r="EE104" s="1"/>
      <c r="EF104" s="1"/>
      <c r="EG104" s="1"/>
      <c r="EH104" s="1"/>
    </row>
    <row r="105" spans="1:138">
      <c r="A105" s="177"/>
      <c r="B105" s="177"/>
      <c r="C105" s="177"/>
      <c r="D105" s="177"/>
      <c r="E105" s="177"/>
      <c r="F105" s="177"/>
      <c r="G105" s="177"/>
      <c r="H105" s="177"/>
      <c r="I105" s="177"/>
      <c r="J105" s="177"/>
      <c r="K105" s="177"/>
      <c r="L105" s="177"/>
      <c r="M105" s="177"/>
      <c r="N105" s="177"/>
      <c r="O105" s="177"/>
      <c r="P105" s="177"/>
      <c r="Q105" s="177"/>
      <c r="R105" s="177"/>
      <c r="S105" s="177"/>
      <c r="T105" s="177"/>
      <c r="U105" s="177"/>
      <c r="V105" s="177"/>
      <c r="W105" s="177"/>
      <c r="X105" s="177"/>
      <c r="Y105" s="177"/>
      <c r="Z105" s="177"/>
      <c r="AA105" s="177"/>
      <c r="AB105" s="177"/>
      <c r="AC105" s="177"/>
      <c r="AD105" s="177"/>
      <c r="AE105" s="177"/>
      <c r="AF105" s="177"/>
      <c r="AG105" s="177"/>
      <c r="AH105" s="177"/>
      <c r="AI105" s="177"/>
      <c r="AJ105" s="177"/>
      <c r="AK105" s="177"/>
      <c r="AL105" s="177"/>
      <c r="AM105" s="177"/>
      <c r="AN105" s="177"/>
      <c r="AO105" s="177"/>
      <c r="AP105" s="177"/>
      <c r="AQ105" s="177"/>
      <c r="AR105" s="177"/>
      <c r="AS105" s="177"/>
      <c r="AT105" s="177"/>
      <c r="AU105" s="177"/>
      <c r="AV105" s="177"/>
      <c r="AW105" s="177"/>
      <c r="AX105" s="177"/>
      <c r="AY105" s="177"/>
      <c r="AZ105" s="177"/>
      <c r="BA105" s="177"/>
      <c r="BB105" s="177"/>
      <c r="BC105" s="177"/>
      <c r="BD105" s="177"/>
      <c r="BE105" s="177"/>
      <c r="BF105" s="177"/>
      <c r="BG105" s="177"/>
      <c r="BH105" s="177"/>
      <c r="BI105" s="177"/>
      <c r="BJ105" s="177"/>
      <c r="BK105" s="177"/>
      <c r="BL105" s="177"/>
      <c r="BM105" s="177"/>
      <c r="BN105" s="177"/>
      <c r="BO105" s="177"/>
      <c r="BP105" s="177"/>
      <c r="BQ105" s="177"/>
      <c r="BR105" s="177"/>
      <c r="BS105" s="177"/>
      <c r="BT105" s="177"/>
      <c r="BU105" s="177"/>
      <c r="BV105" s="177"/>
      <c r="BW105" s="177"/>
      <c r="BX105" s="177"/>
      <c r="BY105" s="177"/>
      <c r="BZ105" s="177"/>
      <c r="CA105" s="177"/>
      <c r="CB105" s="177"/>
      <c r="CC105" s="177"/>
      <c r="CD105" s="177"/>
      <c r="CE105" s="177"/>
      <c r="CF105" s="177"/>
      <c r="CG105" s="177"/>
      <c r="CH105" s="177"/>
      <c r="CI105" s="177"/>
      <c r="CJ105" s="177"/>
      <c r="CK105" s="177"/>
      <c r="CL105" s="177"/>
      <c r="CM105" s="177"/>
      <c r="CN105" s="177"/>
      <c r="CO105" s="177"/>
      <c r="CP105" s="177"/>
      <c r="CQ105" s="177"/>
      <c r="CR105" s="177"/>
      <c r="CS105" s="177"/>
      <c r="CT105" s="177"/>
      <c r="CU105" s="177"/>
      <c r="CV105" s="177"/>
      <c r="CW105" s="177"/>
      <c r="CX105" s="177"/>
      <c r="CY105" s="177"/>
      <c r="CZ105" s="177"/>
      <c r="DA105" s="177"/>
      <c r="DB105" s="177"/>
      <c r="DC105" s="177"/>
      <c r="DD105" s="177"/>
      <c r="DE105" s="177"/>
      <c r="DF105" s="177"/>
      <c r="DG105" s="177"/>
      <c r="DH105" s="177"/>
      <c r="DI105" s="177"/>
      <c r="DJ105" s="177"/>
      <c r="DK105" s="177"/>
      <c r="DL105" s="177"/>
      <c r="DM105" s="177"/>
      <c r="DN105" s="177"/>
      <c r="DO105" s="1"/>
      <c r="DP105" s="1"/>
      <c r="DQ105" s="1"/>
      <c r="DR105" s="1"/>
      <c r="DS105" s="1"/>
      <c r="DT105" s="1"/>
      <c r="DU105" s="1"/>
      <c r="DV105" s="1"/>
      <c r="DW105" s="1"/>
      <c r="DX105" s="1"/>
      <c r="DY105" s="1"/>
      <c r="DZ105" s="1"/>
      <c r="EA105" s="1"/>
      <c r="EB105" s="1"/>
      <c r="EC105" s="1"/>
      <c r="ED105" s="1"/>
      <c r="EE105" s="1"/>
      <c r="EF105" s="1"/>
      <c r="EG105" s="1"/>
      <c r="EH105" s="1"/>
    </row>
    <row r="106" spans="1:138">
      <c r="A106" s="177"/>
      <c r="B106" s="177"/>
      <c r="C106" s="177"/>
      <c r="D106" s="177"/>
      <c r="E106" s="177"/>
      <c r="F106" s="177"/>
      <c r="G106" s="177"/>
      <c r="H106" s="177"/>
      <c r="I106" s="177"/>
      <c r="J106" s="177"/>
      <c r="K106" s="177"/>
      <c r="L106" s="177"/>
      <c r="M106" s="177"/>
      <c r="N106" s="177"/>
      <c r="O106" s="177"/>
      <c r="P106" s="177"/>
      <c r="Q106" s="177"/>
      <c r="R106" s="177"/>
      <c r="S106" s="177"/>
      <c r="T106" s="177"/>
      <c r="U106" s="177"/>
      <c r="V106" s="177"/>
      <c r="W106" s="177"/>
      <c r="X106" s="177"/>
      <c r="Y106" s="177"/>
      <c r="Z106" s="177"/>
      <c r="AA106" s="177"/>
      <c r="AB106" s="177"/>
      <c r="AC106" s="177"/>
      <c r="AD106" s="177"/>
      <c r="AE106" s="177"/>
      <c r="AF106" s="177"/>
      <c r="AG106" s="177"/>
      <c r="AH106" s="177"/>
      <c r="AI106" s="177"/>
      <c r="AJ106" s="177"/>
      <c r="AK106" s="177"/>
      <c r="AL106" s="177"/>
      <c r="AM106" s="177"/>
      <c r="AN106" s="177"/>
      <c r="AO106" s="177"/>
      <c r="AP106" s="177"/>
      <c r="AQ106" s="177"/>
      <c r="AR106" s="177"/>
      <c r="AS106" s="177"/>
      <c r="AT106" s="177"/>
      <c r="AU106" s="177"/>
      <c r="AV106" s="177"/>
      <c r="AW106" s="177"/>
      <c r="AX106" s="177"/>
      <c r="AY106" s="177"/>
      <c r="AZ106" s="177"/>
      <c r="BA106" s="177"/>
      <c r="BB106" s="177"/>
      <c r="BC106" s="177"/>
      <c r="BD106" s="177"/>
      <c r="BE106" s="177"/>
      <c r="BF106" s="177"/>
      <c r="BG106" s="177"/>
      <c r="BH106" s="177"/>
      <c r="BI106" s="177"/>
      <c r="BJ106" s="177"/>
      <c r="BK106" s="177"/>
      <c r="BL106" s="177"/>
      <c r="BM106" s="177"/>
      <c r="BN106" s="177"/>
      <c r="BO106" s="177"/>
      <c r="BP106" s="177"/>
      <c r="BQ106" s="177"/>
      <c r="BR106" s="177"/>
      <c r="BS106" s="177"/>
      <c r="BT106" s="177"/>
      <c r="BU106" s="177"/>
      <c r="BV106" s="177"/>
      <c r="BW106" s="177"/>
      <c r="BX106" s="177"/>
      <c r="BY106" s="177"/>
      <c r="BZ106" s="177"/>
      <c r="CA106" s="177"/>
      <c r="CB106" s="177"/>
      <c r="CC106" s="177"/>
      <c r="CD106" s="177"/>
      <c r="CE106" s="177"/>
      <c r="CF106" s="177"/>
      <c r="CG106" s="177"/>
      <c r="CH106" s="177"/>
      <c r="CI106" s="177"/>
      <c r="CJ106" s="177"/>
      <c r="CK106" s="177"/>
      <c r="CL106" s="177"/>
      <c r="CM106" s="177"/>
      <c r="CN106" s="177"/>
      <c r="CO106" s="177"/>
      <c r="CP106" s="177"/>
      <c r="CQ106" s="177"/>
      <c r="CR106" s="177"/>
      <c r="CS106" s="177"/>
      <c r="CT106" s="177"/>
      <c r="CU106" s="177"/>
      <c r="CV106" s="177"/>
      <c r="CW106" s="177"/>
      <c r="CX106" s="177"/>
      <c r="CY106" s="177"/>
      <c r="CZ106" s="177"/>
      <c r="DA106" s="177"/>
      <c r="DB106" s="177"/>
      <c r="DC106" s="177"/>
      <c r="DD106" s="177"/>
      <c r="DE106" s="177"/>
      <c r="DF106" s="177"/>
      <c r="DG106" s="177"/>
      <c r="DH106" s="177"/>
      <c r="DI106" s="177"/>
      <c r="DJ106" s="177"/>
      <c r="DK106" s="177"/>
      <c r="DL106" s="177"/>
      <c r="DM106" s="177"/>
      <c r="DN106" s="177"/>
      <c r="DO106" s="1"/>
      <c r="DP106" s="1"/>
      <c r="DQ106" s="1"/>
      <c r="DR106" s="1"/>
      <c r="DS106" s="1"/>
      <c r="DT106" s="1"/>
      <c r="DU106" s="1"/>
      <c r="DV106" s="1"/>
      <c r="DW106" s="1"/>
      <c r="DX106" s="1"/>
      <c r="DY106" s="1"/>
      <c r="DZ106" s="1"/>
      <c r="EA106" s="1"/>
      <c r="EB106" s="1"/>
      <c r="EC106" s="1"/>
      <c r="ED106" s="1"/>
      <c r="EE106" s="1"/>
      <c r="EF106" s="1"/>
      <c r="EG106" s="1"/>
      <c r="EH106" s="1"/>
    </row>
    <row r="107" spans="1:138">
      <c r="A107" s="177"/>
      <c r="B107" s="177"/>
      <c r="C107" s="177"/>
      <c r="D107" s="177"/>
      <c r="E107" s="177"/>
      <c r="F107" s="177"/>
      <c r="G107" s="177"/>
      <c r="H107" s="177"/>
      <c r="I107" s="177"/>
      <c r="J107" s="177"/>
      <c r="K107" s="177"/>
      <c r="L107" s="177"/>
      <c r="M107" s="177"/>
      <c r="N107" s="177"/>
      <c r="O107" s="177"/>
      <c r="P107" s="177"/>
      <c r="Q107" s="177"/>
      <c r="R107" s="177"/>
      <c r="S107" s="177"/>
      <c r="T107" s="177"/>
      <c r="U107" s="177"/>
      <c r="V107" s="177"/>
      <c r="W107" s="177"/>
      <c r="X107" s="177"/>
      <c r="Y107" s="177"/>
      <c r="Z107" s="177"/>
      <c r="AA107" s="177"/>
      <c r="AB107" s="177"/>
      <c r="AC107" s="177"/>
      <c r="AD107" s="177"/>
      <c r="AE107" s="177"/>
      <c r="AF107" s="177"/>
      <c r="AG107" s="177"/>
      <c r="AH107" s="177"/>
      <c r="AI107" s="177"/>
      <c r="AJ107" s="177"/>
      <c r="AK107" s="177"/>
      <c r="AL107" s="177"/>
      <c r="AM107" s="177"/>
      <c r="AN107" s="177"/>
      <c r="AO107" s="177"/>
      <c r="AP107" s="177"/>
      <c r="AQ107" s="177"/>
      <c r="AR107" s="177"/>
      <c r="AS107" s="177"/>
      <c r="AT107" s="177"/>
      <c r="AU107" s="177"/>
      <c r="AV107" s="177"/>
      <c r="AW107" s="177"/>
      <c r="AX107" s="177"/>
      <c r="AY107" s="177"/>
      <c r="AZ107" s="177"/>
      <c r="BA107" s="177"/>
      <c r="BB107" s="177"/>
      <c r="BC107" s="177"/>
      <c r="BD107" s="177"/>
      <c r="BE107" s="177"/>
      <c r="BF107" s="177"/>
      <c r="BG107" s="177"/>
      <c r="BH107" s="177"/>
      <c r="BI107" s="177"/>
      <c r="BJ107" s="177"/>
      <c r="BK107" s="177"/>
      <c r="BL107" s="177"/>
      <c r="BM107" s="177"/>
      <c r="BN107" s="177"/>
      <c r="BO107" s="177"/>
      <c r="BP107" s="177"/>
      <c r="BQ107" s="177"/>
      <c r="BR107" s="177"/>
      <c r="BS107" s="177"/>
      <c r="BT107" s="177"/>
      <c r="BU107" s="177"/>
      <c r="BV107" s="177"/>
      <c r="BW107" s="177"/>
      <c r="BX107" s="177"/>
      <c r="BY107" s="177"/>
      <c r="BZ107" s="177"/>
      <c r="CA107" s="177"/>
      <c r="CB107" s="177"/>
      <c r="CC107" s="177"/>
      <c r="CD107" s="177"/>
      <c r="CE107" s="177"/>
      <c r="CF107" s="177"/>
      <c r="CG107" s="177"/>
      <c r="CH107" s="177"/>
      <c r="CI107" s="177"/>
      <c r="CJ107" s="177"/>
      <c r="CK107" s="177"/>
      <c r="CL107" s="177"/>
      <c r="CM107" s="177"/>
      <c r="CN107" s="177"/>
      <c r="CO107" s="177"/>
      <c r="CP107" s="177"/>
      <c r="CQ107" s="177"/>
      <c r="CR107" s="177"/>
      <c r="CS107" s="177"/>
      <c r="CT107" s="177"/>
      <c r="CU107" s="177"/>
      <c r="CV107" s="177"/>
      <c r="CW107" s="177"/>
      <c r="CX107" s="177"/>
      <c r="CY107" s="177"/>
      <c r="CZ107" s="177"/>
      <c r="DA107" s="177"/>
      <c r="DB107" s="177"/>
      <c r="DC107" s="177"/>
      <c r="DD107" s="177"/>
      <c r="DE107" s="177"/>
      <c r="DF107" s="177"/>
      <c r="DG107" s="177"/>
      <c r="DH107" s="177"/>
      <c r="DI107" s="177"/>
      <c r="DJ107" s="177"/>
      <c r="DK107" s="177"/>
      <c r="DL107" s="177"/>
      <c r="DM107" s="177"/>
      <c r="DN107" s="177"/>
      <c r="DO107" s="1"/>
      <c r="DP107" s="1"/>
      <c r="DQ107" s="1"/>
      <c r="DR107" s="1"/>
      <c r="DS107" s="1"/>
      <c r="DT107" s="1"/>
      <c r="DU107" s="1"/>
      <c r="DV107" s="1"/>
      <c r="DW107" s="1"/>
      <c r="DX107" s="1"/>
      <c r="DY107" s="1"/>
      <c r="DZ107" s="1"/>
      <c r="EA107" s="1"/>
      <c r="EB107" s="1"/>
      <c r="EC107" s="1"/>
      <c r="ED107" s="1"/>
      <c r="EE107" s="1"/>
      <c r="EF107" s="1"/>
      <c r="EG107" s="1"/>
      <c r="EH107" s="1"/>
    </row>
    <row r="108" spans="1:138">
      <c r="A108" s="177"/>
      <c r="B108" s="177"/>
      <c r="C108" s="177"/>
      <c r="D108" s="177"/>
      <c r="E108" s="177"/>
      <c r="F108" s="177"/>
      <c r="G108" s="177"/>
      <c r="H108" s="177"/>
      <c r="I108" s="177"/>
      <c r="J108" s="177"/>
      <c r="K108" s="177"/>
      <c r="L108" s="177"/>
      <c r="M108" s="177"/>
      <c r="N108" s="177"/>
      <c r="O108" s="177"/>
      <c r="P108" s="177"/>
      <c r="Q108" s="177"/>
      <c r="R108" s="177"/>
      <c r="S108" s="177"/>
      <c r="T108" s="177"/>
      <c r="U108" s="177"/>
      <c r="V108" s="177"/>
      <c r="W108" s="177"/>
      <c r="X108" s="177"/>
      <c r="Y108" s="177"/>
      <c r="Z108" s="177"/>
      <c r="AA108" s="177"/>
      <c r="AB108" s="177"/>
      <c r="AC108" s="177"/>
      <c r="AD108" s="177"/>
      <c r="AE108" s="177"/>
      <c r="AF108" s="177"/>
      <c r="AG108" s="177"/>
      <c r="AH108" s="177"/>
      <c r="AI108" s="177"/>
      <c r="AJ108" s="177"/>
      <c r="AK108" s="177"/>
      <c r="AL108" s="177"/>
      <c r="AM108" s="177"/>
      <c r="AN108" s="177"/>
      <c r="AO108" s="177"/>
      <c r="AP108" s="177"/>
      <c r="AQ108" s="177"/>
      <c r="AR108" s="177"/>
      <c r="AS108" s="177"/>
      <c r="AT108" s="177"/>
      <c r="AU108" s="177"/>
      <c r="AV108" s="177"/>
      <c r="AW108" s="177"/>
      <c r="AX108" s="177"/>
      <c r="AY108" s="177"/>
      <c r="AZ108" s="177"/>
      <c r="BA108" s="177"/>
      <c r="BB108" s="177"/>
      <c r="BC108" s="177"/>
      <c r="BD108" s="177"/>
      <c r="BE108" s="177"/>
      <c r="BF108" s="177"/>
      <c r="BG108" s="177"/>
      <c r="BH108" s="177"/>
      <c r="BI108" s="177"/>
      <c r="BJ108" s="177"/>
      <c r="BK108" s="177"/>
      <c r="BL108" s="177"/>
      <c r="BM108" s="177"/>
      <c r="BN108" s="177"/>
      <c r="BO108" s="177"/>
      <c r="BP108" s="177"/>
      <c r="BQ108" s="177"/>
      <c r="BR108" s="177"/>
      <c r="BS108" s="177"/>
      <c r="BT108" s="177"/>
      <c r="BU108" s="177"/>
      <c r="BV108" s="177"/>
      <c r="BW108" s="177"/>
      <c r="BX108" s="177"/>
      <c r="BY108" s="177"/>
      <c r="BZ108" s="177"/>
      <c r="CA108" s="177"/>
      <c r="CB108" s="177"/>
      <c r="CC108" s="177"/>
      <c r="CD108" s="177"/>
      <c r="CE108" s="177"/>
      <c r="CF108" s="177"/>
      <c r="CG108" s="177"/>
      <c r="CH108" s="177"/>
      <c r="CI108" s="177"/>
      <c r="CJ108" s="177"/>
      <c r="CK108" s="177"/>
      <c r="CL108" s="177"/>
      <c r="CM108" s="177"/>
      <c r="CN108" s="177"/>
      <c r="CO108" s="177"/>
      <c r="CP108" s="177"/>
      <c r="CQ108" s="177"/>
      <c r="CR108" s="177"/>
      <c r="CS108" s="177"/>
      <c r="CT108" s="177"/>
      <c r="CU108" s="177"/>
      <c r="CV108" s="177"/>
      <c r="CW108" s="177"/>
      <c r="CX108" s="177"/>
      <c r="CY108" s="177"/>
      <c r="CZ108" s="177"/>
      <c r="DA108" s="177"/>
      <c r="DB108" s="177"/>
      <c r="DC108" s="177"/>
      <c r="DD108" s="177"/>
      <c r="DE108" s="177"/>
      <c r="DF108" s="177"/>
      <c r="DG108" s="177"/>
      <c r="DH108" s="177"/>
      <c r="DI108" s="177"/>
      <c r="DJ108" s="177"/>
      <c r="DK108" s="177"/>
      <c r="DL108" s="177"/>
      <c r="DM108" s="177"/>
      <c r="DN108" s="177"/>
      <c r="DO108" s="1"/>
      <c r="DP108" s="1"/>
      <c r="DQ108" s="1"/>
      <c r="DR108" s="1"/>
      <c r="DS108" s="1"/>
      <c r="DT108" s="1"/>
      <c r="DU108" s="1"/>
      <c r="DV108" s="1"/>
      <c r="DW108" s="1"/>
      <c r="DX108" s="1"/>
      <c r="DY108" s="1"/>
      <c r="DZ108" s="1"/>
      <c r="EA108" s="1"/>
      <c r="EB108" s="1"/>
      <c r="EC108" s="1"/>
      <c r="ED108" s="1"/>
      <c r="EE108" s="1"/>
      <c r="EF108" s="1"/>
      <c r="EG108" s="1"/>
      <c r="EH108" s="1"/>
    </row>
    <row r="109" spans="1:138">
      <c r="A109" s="177"/>
      <c r="B109" s="177"/>
      <c r="C109" s="177"/>
      <c r="D109" s="177"/>
      <c r="E109" s="177"/>
      <c r="F109" s="177"/>
      <c r="G109" s="177"/>
      <c r="H109" s="177"/>
      <c r="I109" s="177"/>
      <c r="J109" s="177"/>
      <c r="K109" s="177"/>
      <c r="L109" s="177"/>
      <c r="M109" s="177"/>
      <c r="N109" s="177"/>
      <c r="O109" s="177"/>
      <c r="P109" s="177"/>
      <c r="Q109" s="177"/>
      <c r="R109" s="177"/>
      <c r="S109" s="177"/>
      <c r="T109" s="177"/>
      <c r="U109" s="177"/>
      <c r="V109" s="177"/>
      <c r="W109" s="177"/>
      <c r="X109" s="177"/>
      <c r="Y109" s="177"/>
      <c r="Z109" s="177"/>
      <c r="AA109" s="177"/>
      <c r="AB109" s="177"/>
      <c r="AC109" s="177"/>
      <c r="AD109" s="177"/>
      <c r="AE109" s="177"/>
      <c r="AF109" s="177"/>
      <c r="AG109" s="177"/>
      <c r="AH109" s="177"/>
      <c r="AI109" s="177"/>
      <c r="AJ109" s="177"/>
      <c r="AK109" s="177"/>
      <c r="AL109" s="177"/>
      <c r="AM109" s="177"/>
      <c r="AN109" s="177"/>
      <c r="AO109" s="177"/>
      <c r="AP109" s="177"/>
      <c r="AQ109" s="177"/>
      <c r="AR109" s="177"/>
      <c r="AS109" s="177"/>
      <c r="AT109" s="177"/>
      <c r="AU109" s="177"/>
      <c r="AV109" s="177"/>
      <c r="AW109" s="177"/>
      <c r="AX109" s="177"/>
      <c r="AY109" s="177"/>
      <c r="AZ109" s="177"/>
      <c r="BA109" s="177"/>
      <c r="BB109" s="177"/>
      <c r="BC109" s="177"/>
      <c r="BD109" s="177"/>
      <c r="BE109" s="177"/>
      <c r="BF109" s="177"/>
      <c r="BG109" s="177"/>
      <c r="BH109" s="177"/>
      <c r="BI109" s="177"/>
      <c r="BJ109" s="177"/>
      <c r="BK109" s="177"/>
      <c r="BL109" s="177"/>
      <c r="BM109" s="177"/>
      <c r="BN109" s="177"/>
      <c r="BO109" s="177"/>
      <c r="BP109" s="177"/>
      <c r="BQ109" s="177"/>
      <c r="BR109" s="177"/>
      <c r="BS109" s="177"/>
      <c r="BT109" s="177"/>
      <c r="BU109" s="177"/>
      <c r="BV109" s="177"/>
      <c r="BW109" s="177"/>
      <c r="BX109" s="177"/>
      <c r="BY109" s="177"/>
      <c r="BZ109" s="177"/>
      <c r="CA109" s="177"/>
      <c r="CB109" s="177"/>
      <c r="CC109" s="177"/>
      <c r="CD109" s="177"/>
      <c r="CE109" s="177"/>
      <c r="CF109" s="177"/>
      <c r="CG109" s="177"/>
      <c r="CH109" s="177"/>
      <c r="CI109" s="177"/>
      <c r="CJ109" s="177"/>
      <c r="CK109" s="177"/>
      <c r="CL109" s="177"/>
      <c r="CM109" s="177"/>
      <c r="CN109" s="177"/>
      <c r="CO109" s="177"/>
      <c r="CP109" s="177"/>
      <c r="CQ109" s="177"/>
      <c r="CR109" s="177"/>
      <c r="CS109" s="177"/>
      <c r="CT109" s="177"/>
      <c r="CU109" s="177"/>
      <c r="CV109" s="177"/>
      <c r="CW109" s="177"/>
      <c r="CX109" s="177"/>
      <c r="CY109" s="177"/>
      <c r="CZ109" s="177"/>
      <c r="DA109" s="177"/>
      <c r="DB109" s="177"/>
      <c r="DC109" s="177"/>
      <c r="DD109" s="177"/>
      <c r="DE109" s="177"/>
      <c r="DF109" s="177"/>
      <c r="DG109" s="177"/>
      <c r="DH109" s="177"/>
      <c r="DI109" s="177"/>
      <c r="DJ109" s="177"/>
      <c r="DK109" s="177"/>
      <c r="DL109" s="177"/>
      <c r="DM109" s="177"/>
      <c r="DN109" s="177"/>
      <c r="DO109" s="1"/>
      <c r="DP109" s="1"/>
      <c r="DQ109" s="1"/>
      <c r="DR109" s="1"/>
      <c r="DS109" s="1"/>
      <c r="DT109" s="1"/>
      <c r="DU109" s="1"/>
      <c r="DV109" s="1"/>
      <c r="DW109" s="1"/>
      <c r="DX109" s="1"/>
      <c r="DY109" s="1"/>
      <c r="DZ109" s="1"/>
      <c r="EA109" s="1"/>
      <c r="EB109" s="1"/>
      <c r="EC109" s="1"/>
      <c r="ED109" s="1"/>
      <c r="EE109" s="1"/>
      <c r="EF109" s="1"/>
      <c r="EG109" s="1"/>
      <c r="EH109" s="1"/>
    </row>
    <row r="110" spans="1:138">
      <c r="A110" s="177"/>
      <c r="B110" s="177"/>
      <c r="C110" s="177"/>
      <c r="D110" s="177"/>
      <c r="E110" s="177"/>
      <c r="F110" s="177"/>
      <c r="G110" s="177"/>
      <c r="H110" s="177"/>
      <c r="I110" s="177"/>
      <c r="J110" s="177"/>
      <c r="K110" s="177"/>
      <c r="L110" s="177"/>
      <c r="M110" s="177"/>
      <c r="N110" s="177"/>
      <c r="O110" s="177"/>
      <c r="P110" s="177"/>
      <c r="Q110" s="177"/>
      <c r="R110" s="177"/>
      <c r="S110" s="177"/>
      <c r="T110" s="177"/>
      <c r="U110" s="177"/>
      <c r="V110" s="177"/>
      <c r="W110" s="177"/>
      <c r="X110" s="177"/>
      <c r="Y110" s="177"/>
      <c r="Z110" s="177"/>
      <c r="AA110" s="177"/>
      <c r="AB110" s="177"/>
      <c r="AC110" s="177"/>
      <c r="AD110" s="177"/>
      <c r="AE110" s="177"/>
      <c r="AF110" s="177"/>
      <c r="AG110" s="177"/>
      <c r="AH110" s="177"/>
      <c r="AI110" s="177"/>
      <c r="AJ110" s="177"/>
      <c r="AK110" s="177"/>
      <c r="AL110" s="177"/>
      <c r="AM110" s="177"/>
      <c r="AN110" s="177"/>
      <c r="AO110" s="177"/>
      <c r="AP110" s="177"/>
      <c r="AQ110" s="177"/>
      <c r="AR110" s="177"/>
      <c r="AS110" s="177"/>
      <c r="AT110" s="177"/>
      <c r="AU110" s="177"/>
      <c r="AV110" s="177"/>
      <c r="AW110" s="177"/>
      <c r="AX110" s="177"/>
      <c r="AY110" s="177"/>
      <c r="AZ110" s="177"/>
      <c r="BA110" s="177"/>
      <c r="BB110" s="177"/>
      <c r="BC110" s="177"/>
      <c r="BD110" s="177"/>
      <c r="BE110" s="177"/>
      <c r="BF110" s="177"/>
      <c r="BG110" s="177"/>
      <c r="BH110" s="177"/>
      <c r="BI110" s="177"/>
      <c r="BJ110" s="177"/>
      <c r="BK110" s="177"/>
      <c r="BL110" s="177"/>
      <c r="BM110" s="177"/>
      <c r="BN110" s="177"/>
      <c r="BO110" s="177"/>
      <c r="BP110" s="177"/>
      <c r="BQ110" s="177"/>
      <c r="BR110" s="177"/>
      <c r="BS110" s="177"/>
      <c r="BT110" s="177"/>
      <c r="BU110" s="177"/>
      <c r="BV110" s="177"/>
      <c r="BW110" s="177"/>
      <c r="BX110" s="177"/>
      <c r="BY110" s="177"/>
      <c r="BZ110" s="177"/>
      <c r="CA110" s="177"/>
      <c r="CB110" s="177"/>
      <c r="CC110" s="177"/>
      <c r="CD110" s="177"/>
      <c r="CE110" s="177"/>
      <c r="CF110" s="177"/>
      <c r="CG110" s="177"/>
      <c r="CH110" s="177"/>
      <c r="CI110" s="177"/>
      <c r="CJ110" s="177"/>
      <c r="CK110" s="177"/>
      <c r="CL110" s="177"/>
      <c r="CM110" s="177"/>
      <c r="CN110" s="177"/>
      <c r="CO110" s="177"/>
      <c r="CP110" s="177"/>
      <c r="CQ110" s="177"/>
      <c r="CR110" s="177"/>
      <c r="CS110" s="177"/>
      <c r="CT110" s="177"/>
      <c r="CU110" s="177"/>
      <c r="CV110" s="177"/>
      <c r="CW110" s="177"/>
      <c r="CX110" s="177"/>
      <c r="CY110" s="177"/>
      <c r="CZ110" s="177"/>
      <c r="DA110" s="177"/>
      <c r="DB110" s="177"/>
      <c r="DC110" s="177"/>
      <c r="DD110" s="177"/>
      <c r="DE110" s="177"/>
      <c r="DF110" s="177"/>
      <c r="DG110" s="177"/>
      <c r="DH110" s="177"/>
      <c r="DI110" s="177"/>
      <c r="DJ110" s="177"/>
      <c r="DK110" s="177"/>
      <c r="DL110" s="177"/>
      <c r="DM110" s="177"/>
      <c r="DN110" s="177"/>
      <c r="DO110" s="1"/>
      <c r="DP110" s="1"/>
      <c r="DQ110" s="1"/>
      <c r="DR110" s="1"/>
      <c r="DS110" s="1"/>
      <c r="DT110" s="1"/>
      <c r="DU110" s="1"/>
      <c r="DV110" s="1"/>
      <c r="DW110" s="1"/>
      <c r="DX110" s="1"/>
      <c r="DY110" s="1"/>
      <c r="DZ110" s="1"/>
      <c r="EA110" s="1"/>
      <c r="EB110" s="1"/>
      <c r="EC110" s="1"/>
      <c r="ED110" s="1"/>
      <c r="EE110" s="1"/>
      <c r="EF110" s="1"/>
      <c r="EG110" s="1"/>
      <c r="EH110" s="1"/>
    </row>
    <row r="111" spans="1:138">
      <c r="A111" s="177"/>
      <c r="B111" s="177"/>
      <c r="C111" s="177"/>
      <c r="D111" s="177"/>
      <c r="E111" s="177"/>
      <c r="F111" s="177"/>
      <c r="G111" s="177"/>
      <c r="H111" s="177"/>
      <c r="I111" s="177"/>
      <c r="J111" s="177"/>
      <c r="K111" s="177"/>
      <c r="L111" s="177"/>
      <c r="M111" s="177"/>
      <c r="N111" s="177"/>
      <c r="O111" s="177"/>
      <c r="P111" s="177"/>
      <c r="Q111" s="177"/>
      <c r="R111" s="177"/>
      <c r="S111" s="177"/>
      <c r="T111" s="177"/>
      <c r="U111" s="177"/>
      <c r="V111" s="177"/>
      <c r="W111" s="177"/>
      <c r="X111" s="177"/>
      <c r="Y111" s="177"/>
      <c r="Z111" s="177"/>
      <c r="AA111" s="177"/>
      <c r="AB111" s="177"/>
      <c r="AC111" s="177"/>
      <c r="AD111" s="177"/>
      <c r="AE111" s="177"/>
      <c r="AF111" s="177"/>
      <c r="AG111" s="177"/>
      <c r="AH111" s="177"/>
      <c r="AI111" s="177"/>
      <c r="AJ111" s="177"/>
      <c r="AK111" s="177"/>
      <c r="AL111" s="177"/>
      <c r="AM111" s="177"/>
      <c r="AN111" s="177"/>
      <c r="AO111" s="177"/>
      <c r="AP111" s="177"/>
      <c r="AQ111" s="177"/>
      <c r="AR111" s="177"/>
      <c r="AS111" s="177"/>
      <c r="AT111" s="177"/>
      <c r="AU111" s="177"/>
      <c r="AV111" s="177"/>
      <c r="AW111" s="177"/>
      <c r="AX111" s="177"/>
      <c r="AY111" s="177"/>
      <c r="AZ111" s="177"/>
      <c r="BA111" s="177"/>
      <c r="BB111" s="177"/>
      <c r="BC111" s="177"/>
      <c r="BD111" s="177"/>
      <c r="BE111" s="177"/>
      <c r="BF111" s="177"/>
      <c r="BG111" s="177"/>
      <c r="BH111" s="177"/>
      <c r="BI111" s="177"/>
      <c r="BJ111" s="177"/>
      <c r="BK111" s="177"/>
      <c r="BL111" s="177"/>
      <c r="BM111" s="177"/>
      <c r="BN111" s="177"/>
      <c r="BO111" s="177"/>
      <c r="BP111" s="177"/>
      <c r="BQ111" s="177"/>
      <c r="BR111" s="177"/>
      <c r="BS111" s="177"/>
      <c r="BT111" s="177"/>
      <c r="BU111" s="177"/>
      <c r="BV111" s="177"/>
      <c r="BW111" s="177"/>
      <c r="BX111" s="177"/>
      <c r="BY111" s="177"/>
      <c r="BZ111" s="177"/>
      <c r="CA111" s="177"/>
      <c r="CB111" s="177"/>
      <c r="CC111" s="177"/>
      <c r="CD111" s="177"/>
      <c r="CE111" s="177"/>
      <c r="CF111" s="177"/>
      <c r="CG111" s="177"/>
      <c r="CH111" s="177"/>
      <c r="CI111" s="177"/>
      <c r="CJ111" s="177"/>
      <c r="CK111" s="177"/>
      <c r="CL111" s="177"/>
      <c r="CM111" s="177"/>
      <c r="CN111" s="177"/>
      <c r="CO111" s="177"/>
      <c r="CP111" s="177"/>
      <c r="CQ111" s="177"/>
      <c r="CR111" s="177"/>
      <c r="CS111" s="177"/>
      <c r="CT111" s="177"/>
      <c r="CU111" s="177"/>
      <c r="CV111" s="177"/>
      <c r="CW111" s="177"/>
      <c r="CX111" s="177"/>
      <c r="CY111" s="177"/>
      <c r="CZ111" s="177"/>
      <c r="DA111" s="177"/>
      <c r="DB111" s="177"/>
      <c r="DC111" s="177"/>
      <c r="DD111" s="177"/>
      <c r="DE111" s="177"/>
      <c r="DF111" s="177"/>
      <c r="DG111" s="177"/>
      <c r="DH111" s="177"/>
      <c r="DI111" s="177"/>
      <c r="DJ111" s="177"/>
      <c r="DK111" s="177"/>
      <c r="DL111" s="177"/>
      <c r="DM111" s="177"/>
      <c r="DN111" s="177"/>
      <c r="DO111" s="1"/>
      <c r="DP111" s="1"/>
      <c r="DQ111" s="1"/>
      <c r="DR111" s="1"/>
      <c r="DS111" s="1"/>
      <c r="DT111" s="1"/>
      <c r="DU111" s="1"/>
      <c r="DV111" s="1"/>
      <c r="DW111" s="1"/>
      <c r="DX111" s="1"/>
      <c r="DY111" s="1"/>
      <c r="DZ111" s="1"/>
      <c r="EA111" s="1"/>
      <c r="EB111" s="1"/>
      <c r="EC111" s="1"/>
      <c r="ED111" s="1"/>
      <c r="EE111" s="1"/>
      <c r="EF111" s="1"/>
      <c r="EG111" s="1"/>
      <c r="EH111" s="1"/>
    </row>
    <row r="112" spans="1:138">
      <c r="A112" s="177"/>
      <c r="B112" s="177"/>
      <c r="C112" s="177"/>
      <c r="D112" s="177"/>
      <c r="E112" s="177"/>
      <c r="F112" s="177"/>
      <c r="G112" s="177"/>
      <c r="H112" s="177"/>
      <c r="I112" s="177"/>
      <c r="J112" s="177"/>
      <c r="K112" s="177"/>
      <c r="L112" s="177"/>
      <c r="M112" s="177"/>
      <c r="N112" s="177"/>
      <c r="O112" s="177"/>
      <c r="P112" s="177"/>
      <c r="Q112" s="177"/>
      <c r="R112" s="177"/>
      <c r="S112" s="177"/>
      <c r="T112" s="177"/>
      <c r="U112" s="177"/>
      <c r="V112" s="177"/>
      <c r="W112" s="177"/>
      <c r="X112" s="177"/>
      <c r="Y112" s="177"/>
      <c r="Z112" s="177"/>
      <c r="AA112" s="177"/>
      <c r="AB112" s="177"/>
      <c r="AC112" s="177"/>
      <c r="AD112" s="177"/>
      <c r="AE112" s="177"/>
      <c r="AF112" s="177"/>
      <c r="AG112" s="177"/>
      <c r="AH112" s="177"/>
      <c r="AI112" s="177"/>
      <c r="AJ112" s="177"/>
      <c r="AK112" s="177"/>
      <c r="AL112" s="177"/>
      <c r="AM112" s="177"/>
      <c r="AN112" s="177"/>
      <c r="AO112" s="177"/>
      <c r="AP112" s="177"/>
      <c r="AQ112" s="177"/>
      <c r="AR112" s="177"/>
      <c r="AS112" s="177"/>
      <c r="AT112" s="177"/>
      <c r="AU112" s="177"/>
      <c r="AV112" s="177"/>
      <c r="AW112" s="177"/>
      <c r="AX112" s="177"/>
      <c r="AY112" s="177"/>
      <c r="AZ112" s="177"/>
      <c r="BA112" s="177"/>
      <c r="BB112" s="177"/>
      <c r="BC112" s="177"/>
      <c r="BD112" s="177"/>
      <c r="BE112" s="177"/>
      <c r="BF112" s="177"/>
      <c r="BG112" s="177"/>
      <c r="BH112" s="177"/>
      <c r="BI112" s="177"/>
      <c r="BJ112" s="177"/>
      <c r="BK112" s="177"/>
      <c r="BL112" s="177"/>
      <c r="BM112" s="177"/>
      <c r="BN112" s="177"/>
      <c r="BO112" s="177"/>
      <c r="BP112" s="177"/>
      <c r="BQ112" s="177"/>
      <c r="BR112" s="177"/>
      <c r="BS112" s="177"/>
      <c r="BT112" s="177"/>
      <c r="BU112" s="177"/>
      <c r="BV112" s="177"/>
      <c r="BW112" s="177"/>
      <c r="BX112" s="177"/>
      <c r="BY112" s="177"/>
      <c r="BZ112" s="177"/>
      <c r="CA112" s="177"/>
      <c r="CB112" s="177"/>
      <c r="CC112" s="177"/>
      <c r="CD112" s="177"/>
      <c r="CE112" s="177"/>
      <c r="CF112" s="177"/>
      <c r="CG112" s="177"/>
      <c r="CH112" s="177"/>
      <c r="CI112" s="177"/>
      <c r="CJ112" s="177"/>
      <c r="CK112" s="177"/>
      <c r="CL112" s="177"/>
      <c r="CM112" s="177"/>
      <c r="CN112" s="177"/>
      <c r="CO112" s="177"/>
      <c r="CP112" s="177"/>
      <c r="CQ112" s="177"/>
      <c r="CR112" s="177"/>
      <c r="CS112" s="177"/>
      <c r="CT112" s="177"/>
      <c r="CU112" s="177"/>
      <c r="CV112" s="177"/>
      <c r="CW112" s="177"/>
      <c r="CX112" s="177"/>
      <c r="CY112" s="177"/>
      <c r="CZ112" s="177"/>
      <c r="DA112" s="177"/>
      <c r="DB112" s="177"/>
      <c r="DC112" s="177"/>
      <c r="DD112" s="177"/>
      <c r="DE112" s="177"/>
      <c r="DF112" s="177"/>
      <c r="DG112" s="177"/>
      <c r="DH112" s="177"/>
      <c r="DI112" s="177"/>
      <c r="DJ112" s="177"/>
      <c r="DK112" s="177"/>
      <c r="DL112" s="177"/>
      <c r="DM112" s="177"/>
      <c r="DN112" s="177"/>
      <c r="DO112" s="1"/>
      <c r="DP112" s="1"/>
      <c r="DQ112" s="1"/>
      <c r="DR112" s="1"/>
      <c r="DS112" s="1"/>
      <c r="DT112" s="1"/>
      <c r="DU112" s="1"/>
      <c r="DV112" s="1"/>
      <c r="DW112" s="1"/>
      <c r="DX112" s="1"/>
      <c r="DY112" s="1"/>
      <c r="DZ112" s="1"/>
      <c r="EA112" s="1"/>
      <c r="EB112" s="1"/>
      <c r="EC112" s="1"/>
      <c r="ED112" s="1"/>
      <c r="EE112" s="1"/>
      <c r="EF112" s="1"/>
      <c r="EG112" s="1"/>
      <c r="EH112" s="1"/>
    </row>
    <row r="113" spans="1:138">
      <c r="A113" s="177"/>
      <c r="B113" s="177"/>
      <c r="C113" s="177"/>
      <c r="D113" s="177"/>
      <c r="E113" s="177"/>
      <c r="F113" s="177"/>
      <c r="G113" s="177"/>
      <c r="H113" s="177"/>
      <c r="I113" s="177"/>
      <c r="J113" s="177"/>
      <c r="K113" s="177"/>
      <c r="L113" s="177"/>
      <c r="M113" s="177"/>
      <c r="N113" s="177"/>
      <c r="O113" s="177"/>
      <c r="P113" s="177"/>
      <c r="Q113" s="177"/>
      <c r="R113" s="177"/>
      <c r="S113" s="177"/>
      <c r="T113" s="177"/>
      <c r="U113" s="177"/>
      <c r="V113" s="177"/>
      <c r="W113" s="177"/>
      <c r="X113" s="177"/>
      <c r="Y113" s="177"/>
      <c r="Z113" s="177"/>
      <c r="AA113" s="177"/>
      <c r="AB113" s="177"/>
      <c r="AC113" s="177"/>
      <c r="AD113" s="177"/>
      <c r="AE113" s="177"/>
      <c r="AF113" s="177"/>
      <c r="AG113" s="177"/>
      <c r="AH113" s="177"/>
      <c r="AI113" s="177"/>
      <c r="AJ113" s="177"/>
      <c r="AK113" s="177"/>
      <c r="AL113" s="177"/>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177"/>
      <c r="BJ113" s="177"/>
      <c r="BK113" s="177"/>
      <c r="BL113" s="177"/>
      <c r="BM113" s="177"/>
      <c r="BN113" s="177"/>
      <c r="BO113" s="177"/>
      <c r="BP113" s="177"/>
      <c r="BQ113" s="177"/>
      <c r="BR113" s="177"/>
      <c r="BS113" s="177"/>
      <c r="BT113" s="177"/>
      <c r="BU113" s="177"/>
      <c r="BV113" s="177"/>
      <c r="BW113" s="177"/>
      <c r="BX113" s="177"/>
      <c r="BY113" s="177"/>
      <c r="BZ113" s="177"/>
      <c r="CA113" s="177"/>
      <c r="CB113" s="177"/>
      <c r="CC113" s="177"/>
      <c r="CD113" s="177"/>
      <c r="CE113" s="177"/>
      <c r="CF113" s="177"/>
      <c r="CG113" s="177"/>
      <c r="CH113" s="177"/>
      <c r="CI113" s="177"/>
      <c r="CJ113" s="177"/>
      <c r="CK113" s="177"/>
      <c r="CL113" s="177"/>
      <c r="CM113" s="177"/>
      <c r="CN113" s="177"/>
      <c r="CO113" s="177"/>
      <c r="CP113" s="177"/>
      <c r="CQ113" s="177"/>
      <c r="CR113" s="177"/>
      <c r="CS113" s="177"/>
      <c r="CT113" s="177"/>
      <c r="CU113" s="177"/>
      <c r="CV113" s="177"/>
      <c r="CW113" s="177"/>
      <c r="CX113" s="177"/>
      <c r="CY113" s="177"/>
      <c r="CZ113" s="177"/>
      <c r="DA113" s="177"/>
      <c r="DB113" s="177"/>
      <c r="DC113" s="177"/>
      <c r="DD113" s="177"/>
      <c r="DE113" s="177"/>
      <c r="DF113" s="177"/>
      <c r="DG113" s="177"/>
      <c r="DH113" s="177"/>
      <c r="DI113" s="177"/>
      <c r="DJ113" s="177"/>
      <c r="DK113" s="177"/>
      <c r="DL113" s="177"/>
      <c r="DM113" s="177"/>
      <c r="DN113" s="177"/>
      <c r="DO113" s="1"/>
      <c r="DP113" s="1"/>
      <c r="DQ113" s="1"/>
      <c r="DR113" s="1"/>
      <c r="DS113" s="1"/>
      <c r="DT113" s="1"/>
      <c r="DU113" s="1"/>
      <c r="DV113" s="1"/>
      <c r="DW113" s="1"/>
      <c r="DX113" s="1"/>
      <c r="DY113" s="1"/>
      <c r="DZ113" s="1"/>
      <c r="EA113" s="1"/>
      <c r="EB113" s="1"/>
      <c r="EC113" s="1"/>
      <c r="ED113" s="1"/>
      <c r="EE113" s="1"/>
      <c r="EF113" s="1"/>
      <c r="EG113" s="1"/>
      <c r="EH113" s="1"/>
    </row>
    <row r="114" spans="1:138">
      <c r="A114" s="177"/>
      <c r="B114" s="177"/>
      <c r="C114" s="177"/>
      <c r="D114" s="177"/>
      <c r="E114" s="177"/>
      <c r="F114" s="177"/>
      <c r="G114" s="177"/>
      <c r="H114" s="177"/>
      <c r="I114" s="177"/>
      <c r="J114" s="177"/>
      <c r="K114" s="177"/>
      <c r="L114" s="177"/>
      <c r="M114" s="177"/>
      <c r="N114" s="177"/>
      <c r="O114" s="177"/>
      <c r="P114" s="177"/>
      <c r="Q114" s="177"/>
      <c r="R114" s="177"/>
      <c r="S114" s="177"/>
      <c r="T114" s="177"/>
      <c r="U114" s="177"/>
      <c r="V114" s="177"/>
      <c r="W114" s="177"/>
      <c r="X114" s="177"/>
      <c r="Y114" s="177"/>
      <c r="Z114" s="177"/>
      <c r="AA114" s="177"/>
      <c r="AB114" s="177"/>
      <c r="AC114" s="177"/>
      <c r="AD114" s="177"/>
      <c r="AE114" s="177"/>
      <c r="AF114" s="177"/>
      <c r="AG114" s="177"/>
      <c r="AH114" s="177"/>
      <c r="AI114" s="177"/>
      <c r="AJ114" s="177"/>
      <c r="AK114" s="177"/>
      <c r="AL114" s="177"/>
      <c r="AM114" s="177"/>
      <c r="AN114" s="177"/>
      <c r="AO114" s="177"/>
      <c r="AP114" s="177"/>
      <c r="AQ114" s="177"/>
      <c r="AR114" s="177"/>
      <c r="AS114" s="177"/>
      <c r="AT114" s="177"/>
      <c r="AU114" s="177"/>
      <c r="AV114" s="177"/>
      <c r="AW114" s="177"/>
      <c r="AX114" s="177"/>
      <c r="AY114" s="177"/>
      <c r="AZ114" s="177"/>
      <c r="BA114" s="177"/>
      <c r="BB114" s="177"/>
      <c r="BC114" s="177"/>
      <c r="BD114" s="177"/>
      <c r="BE114" s="177"/>
      <c r="BF114" s="177"/>
      <c r="BG114" s="177"/>
      <c r="BH114" s="177"/>
      <c r="BI114" s="177"/>
      <c r="BJ114" s="177"/>
      <c r="BK114" s="177"/>
      <c r="BL114" s="177"/>
      <c r="BM114" s="177"/>
      <c r="BN114" s="177"/>
      <c r="BO114" s="177"/>
      <c r="BP114" s="177"/>
      <c r="BQ114" s="177"/>
      <c r="BR114" s="177"/>
      <c r="BS114" s="177"/>
      <c r="BT114" s="177"/>
      <c r="BU114" s="177"/>
      <c r="BV114" s="177"/>
      <c r="BW114" s="177"/>
      <c r="BX114" s="177"/>
      <c r="BY114" s="177"/>
      <c r="BZ114" s="177"/>
      <c r="CA114" s="177"/>
      <c r="CB114" s="177"/>
      <c r="CC114" s="177"/>
      <c r="CD114" s="177"/>
      <c r="CE114" s="177"/>
      <c r="CF114" s="177"/>
      <c r="CG114" s="177"/>
      <c r="CH114" s="177"/>
      <c r="CI114" s="177"/>
      <c r="CJ114" s="177"/>
      <c r="CK114" s="177"/>
      <c r="CL114" s="177"/>
      <c r="CM114" s="177"/>
      <c r="CN114" s="177"/>
      <c r="CO114" s="177"/>
      <c r="CP114" s="177"/>
      <c r="CQ114" s="177"/>
      <c r="CR114" s="177"/>
      <c r="CS114" s="177"/>
      <c r="CT114" s="177"/>
      <c r="CU114" s="177"/>
      <c r="CV114" s="177"/>
      <c r="CW114" s="177"/>
      <c r="CX114" s="177"/>
      <c r="CY114" s="177"/>
      <c r="CZ114" s="177"/>
      <c r="DA114" s="177"/>
      <c r="DB114" s="177"/>
      <c r="DC114" s="177"/>
      <c r="DD114" s="177"/>
      <c r="DE114" s="177"/>
      <c r="DF114" s="177"/>
      <c r="DG114" s="177"/>
      <c r="DH114" s="177"/>
      <c r="DI114" s="177"/>
      <c r="DJ114" s="177"/>
      <c r="DK114" s="177"/>
      <c r="DL114" s="177"/>
      <c r="DM114" s="177"/>
      <c r="DN114" s="177"/>
      <c r="DO114" s="1"/>
      <c r="DP114" s="1"/>
      <c r="DQ114" s="1"/>
      <c r="DR114" s="1"/>
      <c r="DS114" s="1"/>
      <c r="DT114" s="1"/>
      <c r="DU114" s="1"/>
      <c r="DV114" s="1"/>
      <c r="DW114" s="1"/>
      <c r="DX114" s="1"/>
      <c r="DY114" s="1"/>
      <c r="DZ114" s="1"/>
      <c r="EA114" s="1"/>
      <c r="EB114" s="1"/>
      <c r="EC114" s="1"/>
      <c r="ED114" s="1"/>
      <c r="EE114" s="1"/>
      <c r="EF114" s="1"/>
      <c r="EG114" s="1"/>
      <c r="EH114" s="1"/>
    </row>
    <row r="115" spans="1:138">
      <c r="A115" s="177"/>
      <c r="B115" s="177"/>
      <c r="C115" s="177"/>
      <c r="D115" s="177"/>
      <c r="E115" s="177"/>
      <c r="F115" s="177"/>
      <c r="G115" s="177"/>
      <c r="H115" s="177"/>
      <c r="I115" s="177"/>
      <c r="J115" s="177"/>
      <c r="K115" s="177"/>
      <c r="L115" s="177"/>
      <c r="M115" s="177"/>
      <c r="N115" s="177"/>
      <c r="O115" s="177"/>
      <c r="P115" s="177"/>
      <c r="Q115" s="177"/>
      <c r="R115" s="177"/>
      <c r="S115" s="177"/>
      <c r="T115" s="177"/>
      <c r="U115" s="177"/>
      <c r="V115" s="177"/>
      <c r="W115" s="177"/>
      <c r="X115" s="177"/>
      <c r="Y115" s="177"/>
      <c r="Z115" s="177"/>
      <c r="AA115" s="177"/>
      <c r="AB115" s="177"/>
      <c r="AC115" s="177"/>
      <c r="AD115" s="177"/>
      <c r="AE115" s="177"/>
      <c r="AF115" s="177"/>
      <c r="AG115" s="177"/>
      <c r="AH115" s="177"/>
      <c r="AI115" s="177"/>
      <c r="AJ115" s="177"/>
      <c r="AK115" s="177"/>
      <c r="AL115" s="1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177"/>
      <c r="BJ115" s="177"/>
      <c r="BK115" s="177"/>
      <c r="BL115" s="177"/>
      <c r="BM115" s="177"/>
      <c r="BN115" s="177"/>
      <c r="BO115" s="177"/>
      <c r="BP115" s="177"/>
      <c r="BQ115" s="177"/>
      <c r="BR115" s="177"/>
      <c r="BS115" s="177"/>
      <c r="BT115" s="177"/>
      <c r="BU115" s="177"/>
      <c r="BV115" s="177"/>
      <c r="BW115" s="177"/>
      <c r="BX115" s="177"/>
      <c r="BY115" s="177"/>
      <c r="BZ115" s="177"/>
      <c r="CA115" s="177"/>
      <c r="CB115" s="177"/>
      <c r="CC115" s="177"/>
      <c r="CD115" s="177"/>
      <c r="CE115" s="177"/>
      <c r="CF115" s="177"/>
      <c r="CG115" s="177"/>
      <c r="CH115" s="177"/>
      <c r="CI115" s="177"/>
      <c r="CJ115" s="177"/>
      <c r="CK115" s="177"/>
      <c r="CL115" s="177"/>
      <c r="CM115" s="177"/>
      <c r="CN115" s="177"/>
      <c r="CO115" s="177"/>
      <c r="CP115" s="177"/>
      <c r="CQ115" s="177"/>
      <c r="CR115" s="177"/>
      <c r="CS115" s="177"/>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
      <c r="DP115" s="1"/>
      <c r="DQ115" s="1"/>
      <c r="DR115" s="1"/>
      <c r="DS115" s="1"/>
      <c r="DT115" s="1"/>
      <c r="DU115" s="1"/>
      <c r="DV115" s="1"/>
      <c r="DW115" s="1"/>
      <c r="DX115" s="1"/>
      <c r="DY115" s="1"/>
      <c r="DZ115" s="1"/>
      <c r="EA115" s="1"/>
      <c r="EB115" s="1"/>
      <c r="EC115" s="1"/>
      <c r="ED115" s="1"/>
      <c r="EE115" s="1"/>
      <c r="EF115" s="1"/>
      <c r="EG115" s="1"/>
      <c r="EH115" s="1"/>
    </row>
    <row r="116" spans="1:138">
      <c r="A116" s="177"/>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c r="AJ116" s="177"/>
      <c r="AK116" s="177"/>
      <c r="AL116" s="177"/>
      <c r="AM116" s="177"/>
      <c r="AN116" s="177"/>
      <c r="AO116" s="177"/>
      <c r="AP116" s="177"/>
      <c r="AQ116" s="177"/>
      <c r="AR116" s="177"/>
      <c r="AS116" s="177"/>
      <c r="AT116" s="177"/>
      <c r="AU116" s="177"/>
      <c r="AV116" s="177"/>
      <c r="AW116" s="177"/>
      <c r="AX116" s="177"/>
      <c r="AY116" s="177"/>
      <c r="AZ116" s="177"/>
      <c r="BA116" s="177"/>
      <c r="BB116" s="177"/>
      <c r="BC116" s="177"/>
      <c r="BD116" s="177"/>
      <c r="BE116" s="177"/>
      <c r="BF116" s="177"/>
      <c r="BG116" s="177"/>
      <c r="BH116" s="177"/>
      <c r="BI116" s="177"/>
      <c r="BJ116" s="177"/>
      <c r="BK116" s="177"/>
      <c r="BL116" s="177"/>
      <c r="BM116" s="177"/>
      <c r="BN116" s="177"/>
      <c r="BO116" s="177"/>
      <c r="BP116" s="177"/>
      <c r="BQ116" s="177"/>
      <c r="BR116" s="177"/>
      <c r="BS116" s="177"/>
      <c r="BT116" s="177"/>
      <c r="BU116" s="177"/>
      <c r="BV116" s="177"/>
      <c r="BW116" s="177"/>
      <c r="BX116" s="177"/>
      <c r="BY116" s="177"/>
      <c r="BZ116" s="177"/>
      <c r="CA116" s="177"/>
      <c r="CB116" s="177"/>
      <c r="CC116" s="177"/>
      <c r="CD116" s="177"/>
      <c r="CE116" s="177"/>
      <c r="CF116" s="177"/>
      <c r="CG116" s="177"/>
      <c r="CH116" s="177"/>
      <c r="CI116" s="177"/>
      <c r="CJ116" s="177"/>
      <c r="CK116" s="177"/>
      <c r="CL116" s="177"/>
      <c r="CM116" s="177"/>
      <c r="CN116" s="177"/>
      <c r="CO116" s="177"/>
      <c r="CP116" s="177"/>
      <c r="CQ116" s="177"/>
      <c r="CR116" s="177"/>
      <c r="CS116" s="177"/>
      <c r="CT116" s="177"/>
      <c r="CU116" s="177"/>
      <c r="CV116" s="177"/>
      <c r="CW116" s="177"/>
      <c r="CX116" s="177"/>
      <c r="CY116" s="177"/>
      <c r="CZ116" s="177"/>
      <c r="DA116" s="177"/>
      <c r="DB116" s="177"/>
      <c r="DC116" s="177"/>
      <c r="DD116" s="177"/>
      <c r="DE116" s="177"/>
      <c r="DF116" s="177"/>
      <c r="DG116" s="177"/>
      <c r="DH116" s="177"/>
      <c r="DI116" s="177"/>
      <c r="DJ116" s="177"/>
      <c r="DK116" s="177"/>
      <c r="DL116" s="177"/>
      <c r="DM116" s="177"/>
      <c r="DN116" s="177"/>
      <c r="DO116" s="1"/>
      <c r="DP116" s="1"/>
      <c r="DQ116" s="1"/>
      <c r="DR116" s="1"/>
      <c r="DS116" s="1"/>
      <c r="DT116" s="1"/>
      <c r="DU116" s="1"/>
      <c r="DV116" s="1"/>
      <c r="DW116" s="1"/>
      <c r="DX116" s="1"/>
      <c r="DY116" s="1"/>
      <c r="DZ116" s="1"/>
      <c r="EA116" s="1"/>
      <c r="EB116" s="1"/>
      <c r="EC116" s="1"/>
      <c r="ED116" s="1"/>
      <c r="EE116" s="1"/>
      <c r="EF116" s="1"/>
      <c r="EG116" s="1"/>
      <c r="EH116" s="1"/>
    </row>
    <row r="117" spans="1:138">
      <c r="A117" s="177"/>
      <c r="B117" s="177"/>
      <c r="C117" s="177"/>
      <c r="D117" s="177"/>
      <c r="E117" s="177"/>
      <c r="F117" s="177"/>
      <c r="G117" s="177"/>
      <c r="H117" s="177"/>
      <c r="I117" s="177"/>
      <c r="J117" s="177"/>
      <c r="K117" s="177"/>
      <c r="L117" s="177"/>
      <c r="M117" s="177"/>
      <c r="N117" s="177"/>
      <c r="O117" s="177"/>
      <c r="P117" s="177"/>
      <c r="Q117" s="177"/>
      <c r="R117" s="177"/>
      <c r="S117" s="177"/>
      <c r="T117" s="177"/>
      <c r="U117" s="177"/>
      <c r="V117" s="177"/>
      <c r="W117" s="177"/>
      <c r="X117" s="177"/>
      <c r="Y117" s="177"/>
      <c r="Z117" s="177"/>
      <c r="AA117" s="177"/>
      <c r="AB117" s="177"/>
      <c r="AC117" s="177"/>
      <c r="AD117" s="177"/>
      <c r="AE117" s="177"/>
      <c r="AF117" s="177"/>
      <c r="AG117" s="177"/>
      <c r="AH117" s="177"/>
      <c r="AI117" s="177"/>
      <c r="AJ117" s="177"/>
      <c r="AK117" s="177"/>
      <c r="AL117" s="177"/>
      <c r="AM117" s="177"/>
      <c r="AN117" s="177"/>
      <c r="AO117" s="177"/>
      <c r="AP117" s="177"/>
      <c r="AQ117" s="177"/>
      <c r="AR117" s="177"/>
      <c r="AS117" s="177"/>
      <c r="AT117" s="177"/>
      <c r="AU117" s="177"/>
      <c r="AV117" s="177"/>
      <c r="AW117" s="177"/>
      <c r="AX117" s="177"/>
      <c r="AY117" s="177"/>
      <c r="AZ117" s="177"/>
      <c r="BA117" s="177"/>
      <c r="BB117" s="177"/>
      <c r="BC117" s="177"/>
      <c r="BD117" s="177"/>
      <c r="BE117" s="177"/>
      <c r="BF117" s="177"/>
      <c r="BG117" s="177"/>
      <c r="BH117" s="177"/>
      <c r="BI117" s="177"/>
      <c r="BJ117" s="177"/>
      <c r="BK117" s="177"/>
      <c r="BL117" s="177"/>
      <c r="BM117" s="177"/>
      <c r="BN117" s="177"/>
      <c r="BO117" s="177"/>
      <c r="BP117" s="177"/>
      <c r="BQ117" s="177"/>
      <c r="BR117" s="177"/>
      <c r="BS117" s="177"/>
      <c r="BT117" s="177"/>
      <c r="BU117" s="177"/>
      <c r="BV117" s="177"/>
      <c r="BW117" s="177"/>
      <c r="BX117" s="177"/>
      <c r="BY117" s="177"/>
      <c r="BZ117" s="177"/>
      <c r="CA117" s="177"/>
      <c r="CB117" s="177"/>
      <c r="CC117" s="177"/>
      <c r="CD117" s="177"/>
      <c r="CE117" s="177"/>
      <c r="CF117" s="177"/>
      <c r="CG117" s="177"/>
      <c r="CH117" s="177"/>
      <c r="CI117" s="177"/>
      <c r="CJ117" s="177"/>
      <c r="CK117" s="177"/>
      <c r="CL117" s="177"/>
      <c r="CM117" s="177"/>
      <c r="CN117" s="177"/>
      <c r="CO117" s="177"/>
      <c r="CP117" s="177"/>
      <c r="CQ117" s="177"/>
      <c r="CR117" s="177"/>
      <c r="CS117" s="177"/>
      <c r="CT117" s="177"/>
      <c r="CU117" s="177"/>
      <c r="CV117" s="177"/>
      <c r="CW117" s="177"/>
      <c r="CX117" s="177"/>
      <c r="CY117" s="177"/>
      <c r="CZ117" s="177"/>
      <c r="DA117" s="177"/>
      <c r="DB117" s="177"/>
      <c r="DC117" s="177"/>
      <c r="DD117" s="177"/>
      <c r="DE117" s="177"/>
      <c r="DF117" s="177"/>
      <c r="DG117" s="177"/>
      <c r="DH117" s="177"/>
      <c r="DI117" s="177"/>
      <c r="DJ117" s="177"/>
      <c r="DK117" s="177"/>
      <c r="DL117" s="177"/>
      <c r="DM117" s="177"/>
      <c r="DN117" s="177"/>
      <c r="DO117" s="1"/>
      <c r="DP117" s="1"/>
      <c r="DQ117" s="1"/>
      <c r="DR117" s="1"/>
      <c r="DS117" s="1"/>
      <c r="DT117" s="1"/>
      <c r="DU117" s="1"/>
      <c r="DV117" s="1"/>
      <c r="DW117" s="1"/>
      <c r="DX117" s="1"/>
      <c r="DY117" s="1"/>
      <c r="DZ117" s="1"/>
      <c r="EA117" s="1"/>
      <c r="EB117" s="1"/>
      <c r="EC117" s="1"/>
      <c r="ED117" s="1"/>
      <c r="EE117" s="1"/>
      <c r="EF117" s="1"/>
      <c r="EG117" s="1"/>
      <c r="EH117" s="1"/>
    </row>
    <row r="118" spans="1:138">
      <c r="A118" s="177"/>
      <c r="B118" s="177"/>
      <c r="C118" s="177"/>
      <c r="D118" s="177"/>
      <c r="E118" s="177"/>
      <c r="F118" s="177"/>
      <c r="G118" s="177"/>
      <c r="H118" s="177"/>
      <c r="I118" s="177"/>
      <c r="J118" s="177"/>
      <c r="K118" s="177"/>
      <c r="L118" s="177"/>
      <c r="M118" s="177"/>
      <c r="N118" s="177"/>
      <c r="O118" s="177"/>
      <c r="P118" s="177"/>
      <c r="Q118" s="177"/>
      <c r="R118" s="177"/>
      <c r="S118" s="177"/>
      <c r="T118" s="177"/>
      <c r="U118" s="177"/>
      <c r="V118" s="177"/>
      <c r="W118" s="177"/>
      <c r="X118" s="177"/>
      <c r="Y118" s="177"/>
      <c r="Z118" s="177"/>
      <c r="AA118" s="177"/>
      <c r="AB118" s="177"/>
      <c r="AC118" s="177"/>
      <c r="AD118" s="177"/>
      <c r="AE118" s="177"/>
      <c r="AF118" s="177"/>
      <c r="AG118" s="177"/>
      <c r="AH118" s="177"/>
      <c r="AI118" s="177"/>
      <c r="AJ118" s="177"/>
      <c r="AK118" s="177"/>
      <c r="AL118" s="177"/>
      <c r="AM118" s="177"/>
      <c r="AN118" s="177"/>
      <c r="AO118" s="177"/>
      <c r="AP118" s="177"/>
      <c r="AQ118" s="177"/>
      <c r="AR118" s="177"/>
      <c r="AS118" s="177"/>
      <c r="AT118" s="177"/>
      <c r="AU118" s="177"/>
      <c r="AV118" s="177"/>
      <c r="AW118" s="177"/>
      <c r="AX118" s="177"/>
      <c r="AY118" s="177"/>
      <c r="AZ118" s="177"/>
      <c r="BA118" s="177"/>
      <c r="BB118" s="177"/>
      <c r="BC118" s="177"/>
      <c r="BD118" s="177"/>
      <c r="BE118" s="177"/>
      <c r="BF118" s="177"/>
      <c r="BG118" s="177"/>
      <c r="BH118" s="177"/>
      <c r="BI118" s="177"/>
      <c r="BJ118" s="177"/>
      <c r="BK118" s="177"/>
      <c r="BL118" s="177"/>
      <c r="BM118" s="177"/>
      <c r="BN118" s="177"/>
      <c r="BO118" s="177"/>
      <c r="BP118" s="177"/>
      <c r="BQ118" s="177"/>
      <c r="BR118" s="177"/>
      <c r="BS118" s="177"/>
      <c r="BT118" s="177"/>
      <c r="BU118" s="177"/>
      <c r="BV118" s="177"/>
      <c r="BW118" s="177"/>
      <c r="BX118" s="177"/>
      <c r="BY118" s="177"/>
      <c r="BZ118" s="177"/>
      <c r="CA118" s="177"/>
      <c r="CB118" s="177"/>
      <c r="CC118" s="177"/>
      <c r="CD118" s="177"/>
      <c r="CE118" s="177"/>
      <c r="CF118" s="177"/>
      <c r="CG118" s="177"/>
      <c r="CH118" s="177"/>
      <c r="CI118" s="177"/>
      <c r="CJ118" s="177"/>
      <c r="CK118" s="177"/>
      <c r="CL118" s="177"/>
      <c r="CM118" s="177"/>
      <c r="CN118" s="177"/>
      <c r="CO118" s="177"/>
      <c r="CP118" s="177"/>
      <c r="CQ118" s="177"/>
      <c r="CR118" s="177"/>
      <c r="CS118" s="177"/>
      <c r="CT118" s="177"/>
      <c r="CU118" s="177"/>
      <c r="CV118" s="177"/>
      <c r="CW118" s="177"/>
      <c r="CX118" s="177"/>
      <c r="CY118" s="177"/>
      <c r="CZ118" s="177"/>
      <c r="DA118" s="177"/>
      <c r="DB118" s="177"/>
      <c r="DC118" s="177"/>
      <c r="DD118" s="177"/>
      <c r="DE118" s="177"/>
      <c r="DF118" s="177"/>
      <c r="DG118" s="177"/>
      <c r="DH118" s="177"/>
      <c r="DI118" s="177"/>
      <c r="DJ118" s="177"/>
      <c r="DK118" s="177"/>
      <c r="DL118" s="177"/>
      <c r="DM118" s="177"/>
      <c r="DN118" s="177"/>
      <c r="DO118" s="1"/>
      <c r="DP118" s="1"/>
      <c r="DQ118" s="1"/>
      <c r="DR118" s="1"/>
      <c r="DS118" s="1"/>
      <c r="DT118" s="1"/>
      <c r="DU118" s="1"/>
      <c r="DV118" s="1"/>
      <c r="DW118" s="1"/>
      <c r="DX118" s="1"/>
      <c r="DY118" s="1"/>
      <c r="DZ118" s="1"/>
      <c r="EA118" s="1"/>
      <c r="EB118" s="1"/>
      <c r="EC118" s="1"/>
      <c r="ED118" s="1"/>
      <c r="EE118" s="1"/>
      <c r="EF118" s="1"/>
      <c r="EG118" s="1"/>
      <c r="EH118" s="1"/>
    </row>
    <row r="119" spans="1:138">
      <c r="A119" s="177"/>
      <c r="B119" s="177"/>
      <c r="C119" s="177"/>
      <c r="D119" s="177"/>
      <c r="E119" s="177"/>
      <c r="F119" s="177"/>
      <c r="G119" s="177"/>
      <c r="H119" s="177"/>
      <c r="I119" s="177"/>
      <c r="J119" s="177"/>
      <c r="K119" s="177"/>
      <c r="L119" s="177"/>
      <c r="M119" s="177"/>
      <c r="N119" s="177"/>
      <c r="O119" s="177"/>
      <c r="P119" s="177"/>
      <c r="Q119" s="177"/>
      <c r="R119" s="177"/>
      <c r="S119" s="177"/>
      <c r="T119" s="177"/>
      <c r="U119" s="177"/>
      <c r="V119" s="177"/>
      <c r="W119" s="177"/>
      <c r="X119" s="177"/>
      <c r="Y119" s="177"/>
      <c r="Z119" s="177"/>
      <c r="AA119" s="177"/>
      <c r="AB119" s="177"/>
      <c r="AC119" s="177"/>
      <c r="AD119" s="177"/>
      <c r="AE119" s="177"/>
      <c r="AF119" s="177"/>
      <c r="AG119" s="177"/>
      <c r="AH119" s="177"/>
      <c r="AI119" s="177"/>
      <c r="AJ119" s="177"/>
      <c r="AK119" s="177"/>
      <c r="AL119" s="177"/>
      <c r="AM119" s="177"/>
      <c r="AN119" s="177"/>
      <c r="AO119" s="177"/>
      <c r="AP119" s="177"/>
      <c r="AQ119" s="177"/>
      <c r="AR119" s="177"/>
      <c r="AS119" s="177"/>
      <c r="AT119" s="177"/>
      <c r="AU119" s="177"/>
      <c r="AV119" s="177"/>
      <c r="AW119" s="177"/>
      <c r="AX119" s="177"/>
      <c r="AY119" s="177"/>
      <c r="AZ119" s="177"/>
      <c r="BA119" s="177"/>
      <c r="BB119" s="177"/>
      <c r="BC119" s="177"/>
      <c r="BD119" s="177"/>
      <c r="BE119" s="177"/>
      <c r="BF119" s="177"/>
      <c r="BG119" s="177"/>
      <c r="BH119" s="177"/>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177"/>
      <c r="CH119" s="177"/>
      <c r="CI119" s="177"/>
      <c r="CJ119" s="177"/>
      <c r="CK119" s="177"/>
      <c r="CL119" s="177"/>
      <c r="CM119" s="177"/>
      <c r="CN119" s="177"/>
      <c r="CO119" s="177"/>
      <c r="CP119" s="177"/>
      <c r="CQ119" s="177"/>
      <c r="CR119" s="177"/>
      <c r="CS119" s="177"/>
      <c r="CT119" s="177"/>
      <c r="CU119" s="177"/>
      <c r="CV119" s="177"/>
      <c r="CW119" s="177"/>
      <c r="CX119" s="177"/>
      <c r="CY119" s="177"/>
      <c r="CZ119" s="177"/>
      <c r="DA119" s="177"/>
      <c r="DB119" s="177"/>
      <c r="DC119" s="177"/>
      <c r="DD119" s="177"/>
      <c r="DE119" s="177"/>
      <c r="DF119" s="177"/>
      <c r="DG119" s="177"/>
      <c r="DH119" s="177"/>
      <c r="DI119" s="177"/>
      <c r="DJ119" s="177"/>
      <c r="DK119" s="177"/>
      <c r="DL119" s="177"/>
      <c r="DM119" s="177"/>
      <c r="DN119" s="177"/>
      <c r="DO119" s="1"/>
      <c r="DP119" s="1"/>
      <c r="DQ119" s="1"/>
      <c r="DR119" s="1"/>
      <c r="DS119" s="1"/>
      <c r="DT119" s="1"/>
      <c r="DU119" s="1"/>
      <c r="DV119" s="1"/>
      <c r="DW119" s="1"/>
      <c r="DX119" s="1"/>
      <c r="DY119" s="1"/>
      <c r="DZ119" s="1"/>
      <c r="EA119" s="1"/>
      <c r="EB119" s="1"/>
      <c r="EC119" s="1"/>
      <c r="ED119" s="1"/>
      <c r="EE119" s="1"/>
      <c r="EF119" s="1"/>
      <c r="EG119" s="1"/>
      <c r="EH119" s="1"/>
    </row>
    <row r="120" spans="1:138">
      <c r="A120" s="177"/>
      <c r="B120" s="177"/>
      <c r="C120" s="177"/>
      <c r="D120" s="177"/>
      <c r="E120" s="177"/>
      <c r="F120" s="177"/>
      <c r="G120" s="177"/>
      <c r="H120" s="177"/>
      <c r="I120" s="177"/>
      <c r="J120" s="177"/>
      <c r="K120" s="177"/>
      <c r="L120" s="177"/>
      <c r="M120" s="177"/>
      <c r="N120" s="177"/>
      <c r="O120" s="177"/>
      <c r="P120" s="177"/>
      <c r="Q120" s="177"/>
      <c r="R120" s="177"/>
      <c r="S120" s="177"/>
      <c r="T120" s="177"/>
      <c r="U120" s="177"/>
      <c r="V120" s="177"/>
      <c r="W120" s="177"/>
      <c r="X120" s="177"/>
      <c r="Y120" s="177"/>
      <c r="Z120" s="177"/>
      <c r="AA120" s="177"/>
      <c r="AB120" s="177"/>
      <c r="AC120" s="177"/>
      <c r="AD120" s="177"/>
      <c r="AE120" s="177"/>
      <c r="AF120" s="177"/>
      <c r="AG120" s="177"/>
      <c r="AH120" s="177"/>
      <c r="AI120" s="177"/>
      <c r="AJ120" s="177"/>
      <c r="AK120" s="177"/>
      <c r="AL120" s="177"/>
      <c r="AM120" s="177"/>
      <c r="AN120" s="177"/>
      <c r="AO120" s="177"/>
      <c r="AP120" s="177"/>
      <c r="AQ120" s="177"/>
      <c r="AR120" s="177"/>
      <c r="AS120" s="177"/>
      <c r="AT120" s="177"/>
      <c r="AU120" s="177"/>
      <c r="AV120" s="177"/>
      <c r="AW120" s="177"/>
      <c r="AX120" s="177"/>
      <c r="AY120" s="177"/>
      <c r="AZ120" s="177"/>
      <c r="BA120" s="177"/>
      <c r="BB120" s="177"/>
      <c r="BC120" s="177"/>
      <c r="BD120" s="177"/>
      <c r="BE120" s="177"/>
      <c r="BF120" s="177"/>
      <c r="BG120" s="177"/>
      <c r="BH120" s="177"/>
      <c r="BI120" s="177"/>
      <c r="BJ120" s="177"/>
      <c r="BK120" s="177"/>
      <c r="BL120" s="177"/>
      <c r="BM120" s="177"/>
      <c r="BN120" s="177"/>
      <c r="BO120" s="177"/>
      <c r="BP120" s="177"/>
      <c r="BQ120" s="177"/>
      <c r="BR120" s="177"/>
      <c r="BS120" s="177"/>
      <c r="BT120" s="177"/>
      <c r="BU120" s="177"/>
      <c r="BV120" s="177"/>
      <c r="BW120" s="177"/>
      <c r="BX120" s="177"/>
      <c r="BY120" s="177"/>
      <c r="BZ120" s="177"/>
      <c r="CA120" s="177"/>
      <c r="CB120" s="177"/>
      <c r="CC120" s="177"/>
      <c r="CD120" s="177"/>
      <c r="CE120" s="177"/>
      <c r="CF120" s="177"/>
      <c r="CG120" s="177"/>
      <c r="CH120" s="177"/>
      <c r="CI120" s="177"/>
      <c r="CJ120" s="177"/>
      <c r="CK120" s="177"/>
      <c r="CL120" s="177"/>
      <c r="CM120" s="177"/>
      <c r="CN120" s="177"/>
      <c r="CO120" s="177"/>
      <c r="CP120" s="177"/>
      <c r="CQ120" s="177"/>
      <c r="CR120" s="177"/>
      <c r="CS120" s="177"/>
      <c r="CT120" s="177"/>
      <c r="CU120" s="177"/>
      <c r="CV120" s="177"/>
      <c r="CW120" s="177"/>
      <c r="CX120" s="177"/>
      <c r="CY120" s="177"/>
      <c r="CZ120" s="177"/>
      <c r="DA120" s="177"/>
      <c r="DB120" s="177"/>
      <c r="DC120" s="177"/>
      <c r="DD120" s="177"/>
      <c r="DE120" s="177"/>
      <c r="DF120" s="177"/>
      <c r="DG120" s="177"/>
      <c r="DH120" s="177"/>
      <c r="DI120" s="177"/>
      <c r="DJ120" s="177"/>
      <c r="DK120" s="177"/>
      <c r="DL120" s="177"/>
      <c r="DM120" s="177"/>
      <c r="DN120" s="177"/>
      <c r="DO120" s="1"/>
      <c r="DP120" s="1"/>
      <c r="DQ120" s="1"/>
      <c r="DR120" s="1"/>
      <c r="DS120" s="1"/>
      <c r="DT120" s="1"/>
      <c r="DU120" s="1"/>
      <c r="DV120" s="1"/>
      <c r="DW120" s="1"/>
      <c r="DX120" s="1"/>
      <c r="DY120" s="1"/>
      <c r="DZ120" s="1"/>
      <c r="EA120" s="1"/>
      <c r="EB120" s="1"/>
      <c r="EC120" s="1"/>
      <c r="ED120" s="1"/>
      <c r="EE120" s="1"/>
      <c r="EF120" s="1"/>
      <c r="EG120" s="1"/>
      <c r="EH120" s="1"/>
    </row>
    <row r="121" spans="1:138">
      <c r="A121" s="177"/>
      <c r="B121" s="177"/>
      <c r="C121" s="177"/>
      <c r="D121" s="177"/>
      <c r="E121" s="177"/>
      <c r="F121" s="177"/>
      <c r="G121" s="177"/>
      <c r="H121" s="177"/>
      <c r="I121" s="177"/>
      <c r="J121" s="177"/>
      <c r="K121" s="177"/>
      <c r="L121" s="177"/>
      <c r="M121" s="177"/>
      <c r="N121" s="177"/>
      <c r="O121" s="177"/>
      <c r="P121" s="177"/>
      <c r="Q121" s="177"/>
      <c r="R121" s="177"/>
      <c r="S121" s="177"/>
      <c r="T121" s="177"/>
      <c r="U121" s="177"/>
      <c r="V121" s="177"/>
      <c r="W121" s="177"/>
      <c r="X121" s="177"/>
      <c r="Y121" s="177"/>
      <c r="Z121" s="177"/>
      <c r="AA121" s="177"/>
      <c r="AB121" s="177"/>
      <c r="AC121" s="177"/>
      <c r="AD121" s="177"/>
      <c r="AE121" s="177"/>
      <c r="AF121" s="177"/>
      <c r="AG121" s="177"/>
      <c r="AH121" s="177"/>
      <c r="AI121" s="177"/>
      <c r="AJ121" s="177"/>
      <c r="AK121" s="177"/>
      <c r="AL121" s="177"/>
      <c r="AM121" s="177"/>
      <c r="AN121" s="177"/>
      <c r="AO121" s="177"/>
      <c r="AP121" s="177"/>
      <c r="AQ121" s="177"/>
      <c r="AR121" s="177"/>
      <c r="AS121" s="177"/>
      <c r="AT121" s="177"/>
      <c r="AU121" s="177"/>
      <c r="AV121" s="177"/>
      <c r="AW121" s="177"/>
      <c r="AX121" s="177"/>
      <c r="AY121" s="177"/>
      <c r="AZ121" s="177"/>
      <c r="BA121" s="177"/>
      <c r="BB121" s="177"/>
      <c r="BC121" s="177"/>
      <c r="BD121" s="177"/>
      <c r="BE121" s="177"/>
      <c r="BF121" s="177"/>
      <c r="BG121" s="177"/>
      <c r="BH121" s="177"/>
      <c r="BI121" s="177"/>
      <c r="BJ121" s="177"/>
      <c r="BK121" s="177"/>
      <c r="BL121" s="177"/>
      <c r="BM121" s="177"/>
      <c r="BN121" s="177"/>
      <c r="BO121" s="177"/>
      <c r="BP121" s="177"/>
      <c r="BQ121" s="177"/>
      <c r="BR121" s="177"/>
      <c r="BS121" s="177"/>
      <c r="BT121" s="177"/>
      <c r="BU121" s="177"/>
      <c r="BV121" s="177"/>
      <c r="BW121" s="177"/>
      <c r="BX121" s="177"/>
      <c r="BY121" s="177"/>
      <c r="BZ121" s="177"/>
      <c r="CA121" s="177"/>
      <c r="CB121" s="177"/>
      <c r="CC121" s="177"/>
      <c r="CD121" s="177"/>
      <c r="CE121" s="177"/>
      <c r="CF121" s="177"/>
      <c r="CG121" s="177"/>
      <c r="CH121" s="177"/>
      <c r="CI121" s="177"/>
      <c r="CJ121" s="177"/>
      <c r="CK121" s="177"/>
      <c r="CL121" s="177"/>
      <c r="CM121" s="177"/>
      <c r="CN121" s="177"/>
      <c r="CO121" s="177"/>
      <c r="CP121" s="177"/>
      <c r="CQ121" s="177"/>
      <c r="CR121" s="177"/>
      <c r="CS121" s="177"/>
      <c r="CT121" s="177"/>
      <c r="CU121" s="177"/>
      <c r="CV121" s="177"/>
      <c r="CW121" s="177"/>
      <c r="CX121" s="177"/>
      <c r="CY121" s="177"/>
      <c r="CZ121" s="177"/>
      <c r="DA121" s="177"/>
      <c r="DB121" s="177"/>
      <c r="DC121" s="177"/>
      <c r="DD121" s="177"/>
      <c r="DE121" s="177"/>
      <c r="DF121" s="177"/>
      <c r="DG121" s="177"/>
      <c r="DH121" s="177"/>
      <c r="DI121" s="177"/>
      <c r="DJ121" s="177"/>
      <c r="DK121" s="177"/>
      <c r="DL121" s="177"/>
      <c r="DM121" s="177"/>
      <c r="DN121" s="177"/>
      <c r="DO121" s="1"/>
      <c r="DP121" s="1"/>
      <c r="DQ121" s="1"/>
      <c r="DR121" s="1"/>
      <c r="DS121" s="1"/>
      <c r="DT121" s="1"/>
      <c r="DU121" s="1"/>
      <c r="DV121" s="1"/>
      <c r="DW121" s="1"/>
      <c r="DX121" s="1"/>
      <c r="DY121" s="1"/>
      <c r="DZ121" s="1"/>
      <c r="EA121" s="1"/>
      <c r="EB121" s="1"/>
      <c r="EC121" s="1"/>
      <c r="ED121" s="1"/>
      <c r="EE121" s="1"/>
      <c r="EF121" s="1"/>
      <c r="EG121" s="1"/>
      <c r="EH121" s="1"/>
    </row>
    <row r="122" spans="1:138">
      <c r="A122" s="177"/>
      <c r="B122" s="177"/>
      <c r="C122" s="177"/>
      <c r="D122" s="177"/>
      <c r="E122" s="177"/>
      <c r="F122" s="177"/>
      <c r="G122" s="177"/>
      <c r="H122" s="177"/>
      <c r="I122" s="177"/>
      <c r="J122" s="177"/>
      <c r="K122" s="177"/>
      <c r="L122" s="177"/>
      <c r="M122" s="177"/>
      <c r="N122" s="177"/>
      <c r="O122" s="177"/>
      <c r="P122" s="177"/>
      <c r="Q122" s="177"/>
      <c r="R122" s="177"/>
      <c r="S122" s="177"/>
      <c r="T122" s="177"/>
      <c r="U122" s="177"/>
      <c r="V122" s="177"/>
      <c r="W122" s="177"/>
      <c r="X122" s="177"/>
      <c r="Y122" s="177"/>
      <c r="Z122" s="177"/>
      <c r="AA122" s="177"/>
      <c r="AB122" s="177"/>
      <c r="AC122" s="177"/>
      <c r="AD122" s="177"/>
      <c r="AE122" s="177"/>
      <c r="AF122" s="177"/>
      <c r="AG122" s="177"/>
      <c r="AH122" s="177"/>
      <c r="AI122" s="177"/>
      <c r="AJ122" s="177"/>
      <c r="AK122" s="177"/>
      <c r="AL122" s="177"/>
      <c r="AM122" s="177"/>
      <c r="AN122" s="177"/>
      <c r="AO122" s="177"/>
      <c r="AP122" s="177"/>
      <c r="AQ122" s="177"/>
      <c r="AR122" s="177"/>
      <c r="AS122" s="177"/>
      <c r="AT122" s="177"/>
      <c r="AU122" s="177"/>
      <c r="AV122" s="177"/>
      <c r="AW122" s="177"/>
      <c r="AX122" s="177"/>
      <c r="AY122" s="177"/>
      <c r="AZ122" s="177"/>
      <c r="BA122" s="177"/>
      <c r="BB122" s="177"/>
      <c r="BC122" s="177"/>
      <c r="BD122" s="177"/>
      <c r="BE122" s="177"/>
      <c r="BF122" s="177"/>
      <c r="BG122" s="177"/>
      <c r="BH122" s="177"/>
      <c r="BI122" s="177"/>
      <c r="BJ122" s="177"/>
      <c r="BK122" s="177"/>
      <c r="BL122" s="177"/>
      <c r="BM122" s="177"/>
      <c r="BN122" s="177"/>
      <c r="BO122" s="177"/>
      <c r="BP122" s="177"/>
      <c r="BQ122" s="177"/>
      <c r="BR122" s="177"/>
      <c r="BS122" s="177"/>
      <c r="BT122" s="177"/>
      <c r="BU122" s="177"/>
      <c r="BV122" s="177"/>
      <c r="BW122" s="177"/>
      <c r="BX122" s="177"/>
      <c r="BY122" s="177"/>
      <c r="BZ122" s="177"/>
      <c r="CA122" s="177"/>
      <c r="CB122" s="177"/>
      <c r="CC122" s="177"/>
      <c r="CD122" s="177"/>
      <c r="CE122" s="177"/>
      <c r="CF122" s="177"/>
      <c r="CG122" s="177"/>
      <c r="CH122" s="177"/>
      <c r="CI122" s="177"/>
      <c r="CJ122" s="177"/>
      <c r="CK122" s="177"/>
      <c r="CL122" s="177"/>
      <c r="CM122" s="177"/>
      <c r="CN122" s="177"/>
      <c r="CO122" s="177"/>
      <c r="CP122" s="177"/>
      <c r="CQ122" s="177"/>
      <c r="CR122" s="177"/>
      <c r="CS122" s="177"/>
      <c r="CT122" s="177"/>
      <c r="CU122" s="177"/>
      <c r="CV122" s="177"/>
      <c r="CW122" s="177"/>
      <c r="CX122" s="177"/>
      <c r="CY122" s="177"/>
      <c r="CZ122" s="177"/>
      <c r="DA122" s="177"/>
      <c r="DB122" s="177"/>
      <c r="DC122" s="177"/>
      <c r="DD122" s="177"/>
      <c r="DE122" s="177"/>
      <c r="DF122" s="177"/>
      <c r="DG122" s="177"/>
      <c r="DH122" s="177"/>
      <c r="DI122" s="177"/>
      <c r="DJ122" s="177"/>
      <c r="DK122" s="177"/>
      <c r="DL122" s="177"/>
      <c r="DM122" s="177"/>
      <c r="DN122" s="177"/>
      <c r="DO122" s="1"/>
      <c r="DP122" s="1"/>
      <c r="DQ122" s="1"/>
      <c r="DR122" s="1"/>
      <c r="DS122" s="1"/>
      <c r="DT122" s="1"/>
      <c r="DU122" s="1"/>
      <c r="DV122" s="1"/>
      <c r="DW122" s="1"/>
      <c r="DX122" s="1"/>
      <c r="DY122" s="1"/>
      <c r="DZ122" s="1"/>
      <c r="EA122" s="1"/>
      <c r="EB122" s="1"/>
      <c r="EC122" s="1"/>
      <c r="ED122" s="1"/>
      <c r="EE122" s="1"/>
      <c r="EF122" s="1"/>
      <c r="EG122" s="1"/>
      <c r="EH122" s="1"/>
    </row>
    <row r="123" spans="1:138">
      <c r="A123" s="177"/>
      <c r="B123" s="177"/>
      <c r="C123" s="177"/>
      <c r="D123" s="177"/>
      <c r="E123" s="177"/>
      <c r="F123" s="177"/>
      <c r="G123" s="177"/>
      <c r="H123" s="177"/>
      <c r="I123" s="177"/>
      <c r="J123" s="177"/>
      <c r="K123" s="177"/>
      <c r="L123" s="177"/>
      <c r="M123" s="177"/>
      <c r="N123" s="177"/>
      <c r="O123" s="177"/>
      <c r="P123" s="177"/>
      <c r="Q123" s="177"/>
      <c r="R123" s="177"/>
      <c r="S123" s="177"/>
      <c r="T123" s="177"/>
      <c r="U123" s="177"/>
      <c r="V123" s="177"/>
      <c r="W123" s="177"/>
      <c r="X123" s="177"/>
      <c r="Y123" s="177"/>
      <c r="Z123" s="177"/>
      <c r="AA123" s="177"/>
      <c r="AB123" s="177"/>
      <c r="AC123" s="177"/>
      <c r="AD123" s="177"/>
      <c r="AE123" s="177"/>
      <c r="AF123" s="177"/>
      <c r="AG123" s="177"/>
      <c r="AH123" s="177"/>
      <c r="AI123" s="177"/>
      <c r="AJ123" s="177"/>
      <c r="AK123" s="177"/>
      <c r="AL123" s="177"/>
      <c r="AM123" s="177"/>
      <c r="AN123" s="177"/>
      <c r="AO123" s="177"/>
      <c r="AP123" s="177"/>
      <c r="AQ123" s="177"/>
      <c r="AR123" s="177"/>
      <c r="AS123" s="177"/>
      <c r="AT123" s="177"/>
      <c r="AU123" s="177"/>
      <c r="AV123" s="177"/>
      <c r="AW123" s="177"/>
      <c r="AX123" s="177"/>
      <c r="AY123" s="177"/>
      <c r="AZ123" s="177"/>
      <c r="BA123" s="177"/>
      <c r="BB123" s="177"/>
      <c r="BC123" s="177"/>
      <c r="BD123" s="177"/>
      <c r="BE123" s="177"/>
      <c r="BF123" s="177"/>
      <c r="BG123" s="177"/>
      <c r="BH123" s="177"/>
      <c r="BI123" s="177"/>
      <c r="BJ123" s="177"/>
      <c r="BK123" s="177"/>
      <c r="BL123" s="177"/>
      <c r="BM123" s="177"/>
      <c r="BN123" s="177"/>
      <c r="BO123" s="177"/>
      <c r="BP123" s="177"/>
      <c r="BQ123" s="177"/>
      <c r="BR123" s="177"/>
      <c r="BS123" s="177"/>
      <c r="BT123" s="177"/>
      <c r="BU123" s="177"/>
      <c r="BV123" s="177"/>
      <c r="BW123" s="177"/>
      <c r="BX123" s="177"/>
      <c r="BY123" s="177"/>
      <c r="BZ123" s="177"/>
      <c r="CA123" s="177"/>
      <c r="CB123" s="177"/>
      <c r="CC123" s="177"/>
      <c r="CD123" s="177"/>
      <c r="CE123" s="177"/>
      <c r="CF123" s="177"/>
      <c r="CG123" s="177"/>
      <c r="CH123" s="177"/>
      <c r="CI123" s="177"/>
      <c r="CJ123" s="177"/>
      <c r="CK123" s="177"/>
      <c r="CL123" s="177"/>
      <c r="CM123" s="177"/>
      <c r="CN123" s="177"/>
      <c r="CO123" s="177"/>
      <c r="CP123" s="177"/>
      <c r="CQ123" s="177"/>
      <c r="CR123" s="177"/>
      <c r="CS123" s="177"/>
      <c r="CT123" s="1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
      <c r="DP123" s="1"/>
      <c r="DQ123" s="1"/>
      <c r="DR123" s="1"/>
      <c r="DS123" s="1"/>
      <c r="DT123" s="1"/>
      <c r="DU123" s="1"/>
      <c r="DV123" s="1"/>
      <c r="DW123" s="1"/>
      <c r="DX123" s="1"/>
      <c r="DY123" s="1"/>
      <c r="DZ123" s="1"/>
      <c r="EA123" s="1"/>
      <c r="EB123" s="1"/>
      <c r="EC123" s="1"/>
      <c r="ED123" s="1"/>
      <c r="EE123" s="1"/>
      <c r="EF123" s="1"/>
      <c r="EG123" s="1"/>
      <c r="EH123" s="1"/>
    </row>
    <row r="124" spans="1:138">
      <c r="A124" s="177"/>
      <c r="B124" s="177"/>
      <c r="C124" s="177"/>
      <c r="D124" s="177"/>
      <c r="E124" s="177"/>
      <c r="F124" s="177"/>
      <c r="G124" s="177"/>
      <c r="H124" s="177"/>
      <c r="I124" s="177"/>
      <c r="J124" s="177"/>
      <c r="K124" s="177"/>
      <c r="L124" s="177"/>
      <c r="M124" s="177"/>
      <c r="N124" s="177"/>
      <c r="O124" s="177"/>
      <c r="P124" s="177"/>
      <c r="Q124" s="177"/>
      <c r="R124" s="177"/>
      <c r="S124" s="177"/>
      <c r="T124" s="177"/>
      <c r="U124" s="177"/>
      <c r="V124" s="177"/>
      <c r="W124" s="177"/>
      <c r="X124" s="177"/>
      <c r="Y124" s="177"/>
      <c r="Z124" s="177"/>
      <c r="AA124" s="177"/>
      <c r="AB124" s="177"/>
      <c r="AC124" s="177"/>
      <c r="AD124" s="177"/>
      <c r="AE124" s="177"/>
      <c r="AF124" s="177"/>
      <c r="AG124" s="177"/>
      <c r="AH124" s="177"/>
      <c r="AI124" s="177"/>
      <c r="AJ124" s="177"/>
      <c r="AK124" s="177"/>
      <c r="AL124" s="177"/>
      <c r="AM124" s="177"/>
      <c r="AN124" s="177"/>
      <c r="AO124" s="177"/>
      <c r="AP124" s="177"/>
      <c r="AQ124" s="177"/>
      <c r="AR124" s="177"/>
      <c r="AS124" s="177"/>
      <c r="AT124" s="177"/>
      <c r="AU124" s="177"/>
      <c r="AV124" s="177"/>
      <c r="AW124" s="177"/>
      <c r="AX124" s="177"/>
      <c r="AY124" s="177"/>
      <c r="AZ124" s="177"/>
      <c r="BA124" s="177"/>
      <c r="BB124" s="177"/>
      <c r="BC124" s="177"/>
      <c r="BD124" s="177"/>
      <c r="BE124" s="177"/>
      <c r="BF124" s="177"/>
      <c r="BG124" s="177"/>
      <c r="BH124" s="177"/>
      <c r="BI124" s="177"/>
      <c r="BJ124" s="177"/>
      <c r="BK124" s="177"/>
      <c r="BL124" s="177"/>
      <c r="BM124" s="177"/>
      <c r="BN124" s="177"/>
      <c r="BO124" s="177"/>
      <c r="BP124" s="177"/>
      <c r="BQ124" s="177"/>
      <c r="BR124" s="177"/>
      <c r="BS124" s="177"/>
      <c r="BT124" s="177"/>
      <c r="BU124" s="177"/>
      <c r="BV124" s="177"/>
      <c r="BW124" s="177"/>
      <c r="BX124" s="177"/>
      <c r="BY124" s="177"/>
      <c r="BZ124" s="177"/>
      <c r="CA124" s="177"/>
      <c r="CB124" s="177"/>
      <c r="CC124" s="177"/>
      <c r="CD124" s="177"/>
      <c r="CE124" s="177"/>
      <c r="CF124" s="177"/>
      <c r="CG124" s="177"/>
      <c r="CH124" s="177"/>
      <c r="CI124" s="177"/>
      <c r="CJ124" s="177"/>
      <c r="CK124" s="177"/>
      <c r="CL124" s="177"/>
      <c r="CM124" s="177"/>
      <c r="CN124" s="177"/>
      <c r="CO124" s="177"/>
      <c r="CP124" s="177"/>
      <c r="CQ124" s="177"/>
      <c r="CR124" s="177"/>
      <c r="CS124" s="177"/>
      <c r="CT124" s="177"/>
      <c r="CU124" s="177"/>
      <c r="CV124" s="177"/>
      <c r="CW124" s="177"/>
      <c r="CX124" s="177"/>
      <c r="CY124" s="177"/>
      <c r="CZ124" s="177"/>
      <c r="DA124" s="177"/>
      <c r="DB124" s="177"/>
      <c r="DC124" s="177"/>
      <c r="DD124" s="177"/>
      <c r="DE124" s="177"/>
      <c r="DF124" s="177"/>
      <c r="DG124" s="177"/>
      <c r="DH124" s="177"/>
      <c r="DI124" s="177"/>
      <c r="DJ124" s="177"/>
      <c r="DK124" s="177"/>
      <c r="DL124" s="177"/>
      <c r="DM124" s="177"/>
      <c r="DN124" s="177"/>
      <c r="DO124" s="1"/>
      <c r="DP124" s="1"/>
      <c r="DQ124" s="1"/>
      <c r="DR124" s="1"/>
      <c r="DS124" s="1"/>
      <c r="DT124" s="1"/>
      <c r="DU124" s="1"/>
      <c r="DV124" s="1"/>
      <c r="DW124" s="1"/>
      <c r="DX124" s="1"/>
      <c r="DY124" s="1"/>
      <c r="DZ124" s="1"/>
      <c r="EA124" s="1"/>
      <c r="EB124" s="1"/>
      <c r="EC124" s="1"/>
      <c r="ED124" s="1"/>
      <c r="EE124" s="1"/>
      <c r="EF124" s="1"/>
      <c r="EG124" s="1"/>
      <c r="EH124" s="1"/>
    </row>
    <row r="125" spans="1:138">
      <c r="A125" s="177"/>
      <c r="B125" s="177"/>
      <c r="C125" s="177"/>
      <c r="D125" s="177"/>
      <c r="E125" s="177"/>
      <c r="F125" s="177"/>
      <c r="G125" s="177"/>
      <c r="H125" s="177"/>
      <c r="I125" s="177"/>
      <c r="J125" s="177"/>
      <c r="K125" s="177"/>
      <c r="L125" s="177"/>
      <c r="M125" s="177"/>
      <c r="N125" s="177"/>
      <c r="O125" s="177"/>
      <c r="P125" s="177"/>
      <c r="Q125" s="177"/>
      <c r="R125" s="177"/>
      <c r="S125" s="177"/>
      <c r="T125" s="177"/>
      <c r="U125" s="177"/>
      <c r="V125" s="177"/>
      <c r="W125" s="177"/>
      <c r="X125" s="177"/>
      <c r="Y125" s="177"/>
      <c r="Z125" s="177"/>
      <c r="AA125" s="177"/>
      <c r="AB125" s="177"/>
      <c r="AC125" s="177"/>
      <c r="AD125" s="177"/>
      <c r="AE125" s="177"/>
      <c r="AF125" s="177"/>
      <c r="AG125" s="177"/>
      <c r="AH125" s="177"/>
      <c r="AI125" s="177"/>
      <c r="AJ125" s="177"/>
      <c r="AK125" s="177"/>
      <c r="AL125" s="177"/>
      <c r="AM125" s="177"/>
      <c r="AN125" s="177"/>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7"/>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
      <c r="DP125" s="1"/>
      <c r="DQ125" s="1"/>
      <c r="DR125" s="1"/>
      <c r="DS125" s="1"/>
      <c r="DT125" s="1"/>
      <c r="DU125" s="1"/>
      <c r="DV125" s="1"/>
      <c r="DW125" s="1"/>
      <c r="DX125" s="1"/>
      <c r="DY125" s="1"/>
      <c r="DZ125" s="1"/>
      <c r="EA125" s="1"/>
      <c r="EB125" s="1"/>
      <c r="EC125" s="1"/>
      <c r="ED125" s="1"/>
      <c r="EE125" s="1"/>
      <c r="EF125" s="1"/>
      <c r="EG125" s="1"/>
      <c r="EH125" s="1"/>
    </row>
    <row r="126" spans="1:138">
      <c r="A126" s="177"/>
      <c r="B126" s="177"/>
      <c r="C126" s="177"/>
      <c r="D126" s="177"/>
      <c r="E126" s="177"/>
      <c r="F126" s="177"/>
      <c r="G126" s="177"/>
      <c r="H126" s="177"/>
      <c r="I126" s="177"/>
      <c r="J126" s="177"/>
      <c r="K126" s="177"/>
      <c r="L126" s="177"/>
      <c r="M126" s="177"/>
      <c r="N126" s="177"/>
      <c r="O126" s="177"/>
      <c r="P126" s="177"/>
      <c r="Q126" s="177"/>
      <c r="R126" s="177"/>
      <c r="S126" s="177"/>
      <c r="T126" s="177"/>
      <c r="U126" s="177"/>
      <c r="V126" s="177"/>
      <c r="W126" s="177"/>
      <c r="X126" s="177"/>
      <c r="Y126" s="177"/>
      <c r="Z126" s="177"/>
      <c r="AA126" s="177"/>
      <c r="AB126" s="177"/>
      <c r="AC126" s="177"/>
      <c r="AD126" s="177"/>
      <c r="AE126" s="177"/>
      <c r="AF126" s="177"/>
      <c r="AG126" s="177"/>
      <c r="AH126" s="177"/>
      <c r="AI126" s="177"/>
      <c r="AJ126" s="177"/>
      <c r="AK126" s="177"/>
      <c r="AL126" s="177"/>
      <c r="AM126" s="177"/>
      <c r="AN126" s="177"/>
      <c r="AO126" s="177"/>
      <c r="AP126" s="177"/>
      <c r="AQ126" s="177"/>
      <c r="AR126" s="177"/>
      <c r="AS126" s="177"/>
      <c r="AT126" s="177"/>
      <c r="AU126" s="177"/>
      <c r="AV126" s="177"/>
      <c r="AW126" s="177"/>
      <c r="AX126" s="177"/>
      <c r="AY126" s="177"/>
      <c r="AZ126" s="177"/>
      <c r="BA126" s="177"/>
      <c r="BB126" s="177"/>
      <c r="BC126" s="177"/>
      <c r="BD126" s="177"/>
      <c r="BE126" s="177"/>
      <c r="BF126" s="177"/>
      <c r="BG126" s="177"/>
      <c r="BH126" s="177"/>
      <c r="BI126" s="177"/>
      <c r="BJ126" s="177"/>
      <c r="BK126" s="177"/>
      <c r="BL126" s="177"/>
      <c r="BM126" s="177"/>
      <c r="BN126" s="177"/>
      <c r="BO126" s="177"/>
      <c r="BP126" s="177"/>
      <c r="BQ126" s="177"/>
      <c r="BR126" s="177"/>
      <c r="BS126" s="177"/>
      <c r="BT126" s="177"/>
      <c r="BU126" s="177"/>
      <c r="BV126" s="177"/>
      <c r="BW126" s="177"/>
      <c r="BX126" s="177"/>
      <c r="BY126" s="177"/>
      <c r="BZ126" s="177"/>
      <c r="CA126" s="177"/>
      <c r="CB126" s="177"/>
      <c r="CC126" s="177"/>
      <c r="CD126" s="177"/>
      <c r="CE126" s="177"/>
      <c r="CF126" s="177"/>
      <c r="CG126" s="177"/>
      <c r="CH126" s="177"/>
      <c r="CI126" s="177"/>
      <c r="CJ126" s="177"/>
      <c r="CK126" s="177"/>
      <c r="CL126" s="177"/>
      <c r="CM126" s="177"/>
      <c r="CN126" s="177"/>
      <c r="CO126" s="177"/>
      <c r="CP126" s="177"/>
      <c r="CQ126" s="177"/>
      <c r="CR126" s="177"/>
      <c r="CS126" s="177"/>
      <c r="CT126" s="177"/>
      <c r="CU126" s="177"/>
      <c r="CV126" s="177"/>
      <c r="CW126" s="177"/>
      <c r="CX126" s="177"/>
      <c r="CY126" s="177"/>
      <c r="CZ126" s="177"/>
      <c r="DA126" s="177"/>
      <c r="DB126" s="177"/>
      <c r="DC126" s="177"/>
      <c r="DD126" s="177"/>
      <c r="DE126" s="177"/>
      <c r="DF126" s="177"/>
      <c r="DG126" s="177"/>
      <c r="DH126" s="177"/>
      <c r="DI126" s="177"/>
      <c r="DJ126" s="177"/>
      <c r="DK126" s="177"/>
      <c r="DL126" s="177"/>
      <c r="DM126" s="177"/>
      <c r="DN126" s="177"/>
      <c r="DO126" s="1"/>
      <c r="DP126" s="1"/>
      <c r="DQ126" s="1"/>
      <c r="DR126" s="1"/>
      <c r="DS126" s="1"/>
      <c r="DT126" s="1"/>
      <c r="DU126" s="1"/>
      <c r="DV126" s="1"/>
      <c r="DW126" s="1"/>
      <c r="DX126" s="1"/>
      <c r="DY126" s="1"/>
      <c r="DZ126" s="1"/>
      <c r="EA126" s="1"/>
      <c r="EB126" s="1"/>
      <c r="EC126" s="1"/>
      <c r="ED126" s="1"/>
      <c r="EE126" s="1"/>
      <c r="EF126" s="1"/>
      <c r="EG126" s="1"/>
      <c r="EH126" s="1"/>
    </row>
    <row r="127" spans="1:138">
      <c r="A127" s="177"/>
      <c r="B127" s="177"/>
      <c r="C127" s="177"/>
      <c r="D127" s="177"/>
      <c r="E127" s="177"/>
      <c r="F127" s="177"/>
      <c r="G127" s="177"/>
      <c r="H127" s="177"/>
      <c r="I127" s="177"/>
      <c r="J127" s="177"/>
      <c r="K127" s="177"/>
      <c r="L127" s="177"/>
      <c r="M127" s="177"/>
      <c r="N127" s="177"/>
      <c r="O127" s="177"/>
      <c r="P127" s="177"/>
      <c r="Q127" s="177"/>
      <c r="R127" s="177"/>
      <c r="S127" s="177"/>
      <c r="T127" s="177"/>
      <c r="U127" s="177"/>
      <c r="V127" s="177"/>
      <c r="W127" s="177"/>
      <c r="X127" s="177"/>
      <c r="Y127" s="177"/>
      <c r="Z127" s="177"/>
      <c r="AA127" s="177"/>
      <c r="AB127" s="177"/>
      <c r="AC127" s="177"/>
      <c r="AD127" s="177"/>
      <c r="AE127" s="177"/>
      <c r="AF127" s="177"/>
      <c r="AG127" s="177"/>
      <c r="AH127" s="177"/>
      <c r="AI127" s="177"/>
      <c r="AJ127" s="177"/>
      <c r="AK127" s="177"/>
      <c r="AL127" s="177"/>
      <c r="AM127" s="177"/>
      <c r="AN127" s="1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7"/>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
      <c r="DP127" s="1"/>
      <c r="DQ127" s="1"/>
      <c r="DR127" s="1"/>
      <c r="DS127" s="1"/>
      <c r="DT127" s="1"/>
      <c r="DU127" s="1"/>
      <c r="DV127" s="1"/>
      <c r="DW127" s="1"/>
      <c r="DX127" s="1"/>
      <c r="DY127" s="1"/>
      <c r="DZ127" s="1"/>
      <c r="EA127" s="1"/>
      <c r="EB127" s="1"/>
      <c r="EC127" s="1"/>
      <c r="ED127" s="1"/>
      <c r="EE127" s="1"/>
      <c r="EF127" s="1"/>
      <c r="EG127" s="1"/>
      <c r="EH127" s="1"/>
    </row>
    <row r="128" spans="1:138">
      <c r="A128" s="177"/>
      <c r="B128" s="177"/>
      <c r="C128" s="177"/>
      <c r="D128" s="177"/>
      <c r="E128" s="177"/>
      <c r="F128" s="177"/>
      <c r="G128" s="177"/>
      <c r="H128" s="177"/>
      <c r="I128" s="177"/>
      <c r="J128" s="177"/>
      <c r="K128" s="177"/>
      <c r="L128" s="177"/>
      <c r="M128" s="177"/>
      <c r="N128" s="177"/>
      <c r="O128" s="177"/>
      <c r="P128" s="177"/>
      <c r="Q128" s="177"/>
      <c r="R128" s="177"/>
      <c r="S128" s="177"/>
      <c r="T128" s="177"/>
      <c r="U128" s="177"/>
      <c r="V128" s="177"/>
      <c r="W128" s="177"/>
      <c r="X128" s="177"/>
      <c r="Y128" s="177"/>
      <c r="Z128" s="177"/>
      <c r="AA128" s="177"/>
      <c r="AB128" s="177"/>
      <c r="AC128" s="177"/>
      <c r="AD128" s="177"/>
      <c r="AE128" s="177"/>
      <c r="AF128" s="177"/>
      <c r="AG128" s="177"/>
      <c r="AH128" s="177"/>
      <c r="AI128" s="177"/>
      <c r="AJ128" s="177"/>
      <c r="AK128" s="177"/>
      <c r="AL128" s="177"/>
      <c r="AM128" s="177"/>
      <c r="AN128" s="177"/>
      <c r="AO128" s="177"/>
      <c r="AP128" s="177"/>
      <c r="AQ128" s="177"/>
      <c r="AR128" s="177"/>
      <c r="AS128" s="177"/>
      <c r="AT128" s="177"/>
      <c r="AU128" s="177"/>
      <c r="AV128" s="177"/>
      <c r="AW128" s="177"/>
      <c r="AX128" s="177"/>
      <c r="AY128" s="177"/>
      <c r="AZ128" s="177"/>
      <c r="BA128" s="177"/>
      <c r="BB128" s="177"/>
      <c r="BC128" s="177"/>
      <c r="BD128" s="177"/>
      <c r="BE128" s="177"/>
      <c r="BF128" s="177"/>
      <c r="BG128" s="177"/>
      <c r="BH128" s="177"/>
      <c r="BI128" s="177"/>
      <c r="BJ128" s="177"/>
      <c r="BK128" s="177"/>
      <c r="BL128" s="177"/>
      <c r="BM128" s="177"/>
      <c r="BN128" s="177"/>
      <c r="BO128" s="177"/>
      <c r="BP128" s="177"/>
      <c r="BQ128" s="177"/>
      <c r="BR128" s="177"/>
      <c r="BS128" s="177"/>
      <c r="BT128" s="177"/>
      <c r="BU128" s="177"/>
      <c r="BV128" s="177"/>
      <c r="BW128" s="177"/>
      <c r="BX128" s="177"/>
      <c r="BY128" s="177"/>
      <c r="BZ128" s="177"/>
      <c r="CA128" s="177"/>
      <c r="CB128" s="177"/>
      <c r="CC128" s="177"/>
      <c r="CD128" s="177"/>
      <c r="CE128" s="177"/>
      <c r="CF128" s="177"/>
      <c r="CG128" s="177"/>
      <c r="CH128" s="177"/>
      <c r="CI128" s="177"/>
      <c r="CJ128" s="177"/>
      <c r="CK128" s="177"/>
      <c r="CL128" s="177"/>
      <c r="CM128" s="177"/>
      <c r="CN128" s="177"/>
      <c r="CO128" s="177"/>
      <c r="CP128" s="177"/>
      <c r="CQ128" s="177"/>
      <c r="CR128" s="177"/>
      <c r="CS128" s="177"/>
      <c r="CT128" s="177"/>
      <c r="CU128" s="177"/>
      <c r="CV128" s="177"/>
      <c r="CW128" s="177"/>
      <c r="CX128" s="177"/>
      <c r="CY128" s="177"/>
      <c r="CZ128" s="177"/>
      <c r="DA128" s="177"/>
      <c r="DB128" s="177"/>
      <c r="DC128" s="177"/>
      <c r="DD128" s="177"/>
      <c r="DE128" s="177"/>
      <c r="DF128" s="177"/>
      <c r="DG128" s="177"/>
      <c r="DH128" s="177"/>
      <c r="DI128" s="177"/>
      <c r="DJ128" s="177"/>
      <c r="DK128" s="177"/>
      <c r="DL128" s="177"/>
      <c r="DM128" s="177"/>
      <c r="DN128" s="177"/>
      <c r="DO128" s="1"/>
      <c r="DP128" s="1"/>
      <c r="DQ128" s="1"/>
      <c r="DR128" s="1"/>
      <c r="DS128" s="1"/>
      <c r="DT128" s="1"/>
      <c r="DU128" s="1"/>
      <c r="DV128" s="1"/>
      <c r="DW128" s="1"/>
      <c r="DX128" s="1"/>
      <c r="DY128" s="1"/>
      <c r="DZ128" s="1"/>
      <c r="EA128" s="1"/>
      <c r="EB128" s="1"/>
      <c r="EC128" s="1"/>
      <c r="ED128" s="1"/>
      <c r="EE128" s="1"/>
      <c r="EF128" s="1"/>
      <c r="EG128" s="1"/>
      <c r="EH128" s="1"/>
    </row>
    <row r="129" spans="1:138">
      <c r="A129" s="177"/>
      <c r="B129" s="177"/>
      <c r="C129" s="177"/>
      <c r="D129" s="177"/>
      <c r="E129" s="177"/>
      <c r="F129" s="177"/>
      <c r="G129" s="177"/>
      <c r="H129" s="177"/>
      <c r="I129" s="177"/>
      <c r="J129" s="177"/>
      <c r="K129" s="177"/>
      <c r="L129" s="177"/>
      <c r="M129" s="177"/>
      <c r="N129" s="177"/>
      <c r="O129" s="177"/>
      <c r="P129" s="177"/>
      <c r="Q129" s="177"/>
      <c r="R129" s="177"/>
      <c r="S129" s="177"/>
      <c r="T129" s="177"/>
      <c r="U129" s="177"/>
      <c r="V129" s="177"/>
      <c r="W129" s="177"/>
      <c r="X129" s="177"/>
      <c r="Y129" s="177"/>
      <c r="Z129" s="177"/>
      <c r="AA129" s="177"/>
      <c r="AB129" s="177"/>
      <c r="AC129" s="177"/>
      <c r="AD129" s="177"/>
      <c r="AE129" s="177"/>
      <c r="AF129" s="177"/>
      <c r="AG129" s="177"/>
      <c r="AH129" s="177"/>
      <c r="AI129" s="177"/>
      <c r="AJ129" s="177"/>
      <c r="AK129" s="177"/>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177"/>
      <c r="CG129" s="177"/>
      <c r="CH129" s="177"/>
      <c r="CI129" s="177"/>
      <c r="CJ129" s="177"/>
      <c r="CK129" s="177"/>
      <c r="CL129" s="177"/>
      <c r="CM129" s="177"/>
      <c r="CN129" s="177"/>
      <c r="CO129" s="177"/>
      <c r="CP129" s="177"/>
      <c r="CQ129" s="177"/>
      <c r="CR129" s="177"/>
      <c r="CS129" s="177"/>
      <c r="CT129" s="177"/>
      <c r="CU129" s="177"/>
      <c r="CV129" s="177"/>
      <c r="CW129" s="177"/>
      <c r="CX129" s="177"/>
      <c r="CY129" s="177"/>
      <c r="CZ129" s="177"/>
      <c r="DA129" s="177"/>
      <c r="DB129" s="177"/>
      <c r="DC129" s="177"/>
      <c r="DD129" s="177"/>
      <c r="DE129" s="177"/>
      <c r="DF129" s="177"/>
      <c r="DG129" s="177"/>
      <c r="DH129" s="177"/>
      <c r="DI129" s="177"/>
      <c r="DJ129" s="177"/>
      <c r="DK129" s="177"/>
      <c r="DL129" s="177"/>
      <c r="DM129" s="177"/>
      <c r="DN129" s="177"/>
      <c r="DO129" s="1"/>
      <c r="DP129" s="1"/>
      <c r="DQ129" s="1"/>
      <c r="DR129" s="1"/>
      <c r="DS129" s="1"/>
      <c r="DT129" s="1"/>
      <c r="DU129" s="1"/>
      <c r="DV129" s="1"/>
      <c r="DW129" s="1"/>
      <c r="DX129" s="1"/>
      <c r="DY129" s="1"/>
      <c r="DZ129" s="1"/>
      <c r="EA129" s="1"/>
      <c r="EB129" s="1"/>
      <c r="EC129" s="1"/>
      <c r="ED129" s="1"/>
      <c r="EE129" s="1"/>
      <c r="EF129" s="1"/>
      <c r="EG129" s="1"/>
      <c r="EH129" s="1"/>
    </row>
    <row r="130" spans="1:138">
      <c r="A130" s="177"/>
      <c r="B130" s="177"/>
      <c r="C130" s="177"/>
      <c r="D130" s="177"/>
      <c r="E130" s="177"/>
      <c r="F130" s="177"/>
      <c r="G130" s="177"/>
      <c r="H130" s="177"/>
      <c r="I130" s="177"/>
      <c r="J130" s="177"/>
      <c r="K130" s="177"/>
      <c r="L130" s="177"/>
      <c r="M130" s="177"/>
      <c r="N130" s="177"/>
      <c r="O130" s="177"/>
      <c r="P130" s="177"/>
      <c r="Q130" s="177"/>
      <c r="R130" s="177"/>
      <c r="S130" s="177"/>
      <c r="T130" s="177"/>
      <c r="U130" s="177"/>
      <c r="V130" s="177"/>
      <c r="W130" s="177"/>
      <c r="X130" s="177"/>
      <c r="Y130" s="177"/>
      <c r="Z130" s="177"/>
      <c r="AA130" s="177"/>
      <c r="AB130" s="177"/>
      <c r="AC130" s="177"/>
      <c r="AD130" s="177"/>
      <c r="AE130" s="177"/>
      <c r="AF130" s="177"/>
      <c r="AG130" s="177"/>
      <c r="AH130" s="177"/>
      <c r="AI130" s="177"/>
      <c r="AJ130" s="177"/>
      <c r="AK130" s="177"/>
      <c r="AL130" s="177"/>
      <c r="AM130" s="177"/>
      <c r="AN130" s="177"/>
      <c r="AO130" s="177"/>
      <c r="AP130" s="177"/>
      <c r="AQ130" s="177"/>
      <c r="AR130" s="177"/>
      <c r="AS130" s="177"/>
      <c r="AT130" s="177"/>
      <c r="AU130" s="177"/>
      <c r="AV130" s="177"/>
      <c r="AW130" s="177"/>
      <c r="AX130" s="177"/>
      <c r="AY130" s="177"/>
      <c r="AZ130" s="177"/>
      <c r="BA130" s="177"/>
      <c r="BB130" s="177"/>
      <c r="BC130" s="177"/>
      <c r="BD130" s="177"/>
      <c r="BE130" s="177"/>
      <c r="BF130" s="177"/>
      <c r="BG130" s="177"/>
      <c r="BH130" s="177"/>
      <c r="BI130" s="177"/>
      <c r="BJ130" s="177"/>
      <c r="BK130" s="177"/>
      <c r="BL130" s="177"/>
      <c r="BM130" s="177"/>
      <c r="BN130" s="177"/>
      <c r="BO130" s="177"/>
      <c r="BP130" s="177"/>
      <c r="BQ130" s="177"/>
      <c r="BR130" s="177"/>
      <c r="BS130" s="177"/>
      <c r="BT130" s="177"/>
      <c r="BU130" s="177"/>
      <c r="BV130" s="177"/>
      <c r="BW130" s="177"/>
      <c r="BX130" s="177"/>
      <c r="BY130" s="177"/>
      <c r="BZ130" s="177"/>
      <c r="CA130" s="177"/>
      <c r="CB130" s="177"/>
      <c r="CC130" s="177"/>
      <c r="CD130" s="177"/>
      <c r="CE130" s="177"/>
      <c r="CF130" s="177"/>
      <c r="CG130" s="177"/>
      <c r="CH130" s="177"/>
      <c r="CI130" s="177"/>
      <c r="CJ130" s="177"/>
      <c r="CK130" s="177"/>
      <c r="CL130" s="177"/>
      <c r="CM130" s="177"/>
      <c r="CN130" s="177"/>
      <c r="CO130" s="177"/>
      <c r="CP130" s="177"/>
      <c r="CQ130" s="177"/>
      <c r="CR130" s="177"/>
      <c r="CS130" s="177"/>
      <c r="CT130" s="177"/>
      <c r="CU130" s="177"/>
      <c r="CV130" s="177"/>
      <c r="CW130" s="177"/>
      <c r="CX130" s="177"/>
      <c r="CY130" s="177"/>
      <c r="CZ130" s="177"/>
      <c r="DA130" s="177"/>
      <c r="DB130" s="177"/>
      <c r="DC130" s="177"/>
      <c r="DD130" s="177"/>
      <c r="DE130" s="177"/>
      <c r="DF130" s="177"/>
      <c r="DG130" s="177"/>
      <c r="DH130" s="177"/>
      <c r="DI130" s="177"/>
      <c r="DJ130" s="177"/>
      <c r="DK130" s="177"/>
      <c r="DL130" s="177"/>
      <c r="DM130" s="177"/>
      <c r="DN130" s="177"/>
      <c r="DO130" s="1"/>
      <c r="DP130" s="1"/>
      <c r="DQ130" s="1"/>
      <c r="DR130" s="1"/>
      <c r="DS130" s="1"/>
      <c r="DT130" s="1"/>
      <c r="DU130" s="1"/>
      <c r="DV130" s="1"/>
      <c r="DW130" s="1"/>
      <c r="DX130" s="1"/>
      <c r="DY130" s="1"/>
      <c r="DZ130" s="1"/>
      <c r="EA130" s="1"/>
      <c r="EB130" s="1"/>
      <c r="EC130" s="1"/>
      <c r="ED130" s="1"/>
      <c r="EE130" s="1"/>
      <c r="EF130" s="1"/>
      <c r="EG130" s="1"/>
      <c r="EH130" s="1"/>
    </row>
    <row r="131" spans="1:138">
      <c r="A131" s="177"/>
      <c r="B131" s="177"/>
      <c r="C131" s="177"/>
      <c r="D131" s="177"/>
      <c r="E131" s="177"/>
      <c r="F131" s="177"/>
      <c r="G131" s="177"/>
      <c r="H131" s="177"/>
      <c r="I131" s="177"/>
      <c r="J131" s="177"/>
      <c r="K131" s="177"/>
      <c r="L131" s="177"/>
      <c r="M131" s="177"/>
      <c r="N131" s="177"/>
      <c r="O131" s="177"/>
      <c r="P131" s="177"/>
      <c r="Q131" s="177"/>
      <c r="R131" s="177"/>
      <c r="S131" s="177"/>
      <c r="T131" s="177"/>
      <c r="U131" s="177"/>
      <c r="V131" s="177"/>
      <c r="W131" s="177"/>
      <c r="X131" s="177"/>
      <c r="Y131" s="177"/>
      <c r="Z131" s="177"/>
      <c r="AA131" s="177"/>
      <c r="AB131" s="177"/>
      <c r="AC131" s="177"/>
      <c r="AD131" s="177"/>
      <c r="AE131" s="177"/>
      <c r="AF131" s="177"/>
      <c r="AG131" s="177"/>
      <c r="AH131" s="177"/>
      <c r="AI131" s="177"/>
      <c r="AJ131" s="177"/>
      <c r="AK131" s="177"/>
      <c r="AL131" s="177"/>
      <c r="AM131" s="177"/>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177"/>
      <c r="BI131" s="177"/>
      <c r="BJ131" s="177"/>
      <c r="BK131" s="177"/>
      <c r="BL131" s="177"/>
      <c r="BM131" s="177"/>
      <c r="BN131" s="177"/>
      <c r="BO131" s="177"/>
      <c r="BP131" s="177"/>
      <c r="BQ131" s="177"/>
      <c r="BR131" s="177"/>
      <c r="BS131" s="177"/>
      <c r="BT131" s="177"/>
      <c r="BU131" s="177"/>
      <c r="BV131" s="177"/>
      <c r="BW131" s="177"/>
      <c r="BX131" s="177"/>
      <c r="BY131" s="177"/>
      <c r="BZ131" s="177"/>
      <c r="CA131" s="177"/>
      <c r="CB131" s="177"/>
      <c r="CC131" s="177"/>
      <c r="CD131" s="177"/>
      <c r="CE131" s="177"/>
      <c r="CF131" s="177"/>
      <c r="CG131" s="177"/>
      <c r="CH131" s="177"/>
      <c r="CI131" s="177"/>
      <c r="CJ131" s="177"/>
      <c r="CK131" s="177"/>
      <c r="CL131" s="177"/>
      <c r="CM131" s="177"/>
      <c r="CN131" s="177"/>
      <c r="CO131" s="177"/>
      <c r="CP131" s="177"/>
      <c r="CQ131" s="177"/>
      <c r="CR131" s="177"/>
      <c r="CS131" s="177"/>
      <c r="CT131" s="177"/>
      <c r="CU131" s="177"/>
      <c r="CV131" s="177"/>
      <c r="CW131" s="177"/>
      <c r="CX131" s="177"/>
      <c r="CY131" s="177"/>
      <c r="CZ131" s="177"/>
      <c r="DA131" s="177"/>
      <c r="DB131" s="177"/>
      <c r="DC131" s="177"/>
      <c r="DD131" s="177"/>
      <c r="DE131" s="177"/>
      <c r="DF131" s="177"/>
      <c r="DG131" s="177"/>
      <c r="DH131" s="177"/>
      <c r="DI131" s="177"/>
      <c r="DJ131" s="177"/>
      <c r="DK131" s="177"/>
      <c r="DL131" s="177"/>
      <c r="DM131" s="177"/>
      <c r="DN131" s="177"/>
      <c r="DO131" s="1"/>
      <c r="DP131" s="1"/>
      <c r="DQ131" s="1"/>
      <c r="DR131" s="1"/>
      <c r="DS131" s="1"/>
      <c r="DT131" s="1"/>
      <c r="DU131" s="1"/>
      <c r="DV131" s="1"/>
      <c r="DW131" s="1"/>
      <c r="DX131" s="1"/>
      <c r="DY131" s="1"/>
      <c r="DZ131" s="1"/>
      <c r="EA131" s="1"/>
      <c r="EB131" s="1"/>
      <c r="EC131" s="1"/>
      <c r="ED131" s="1"/>
      <c r="EE131" s="1"/>
      <c r="EF131" s="1"/>
      <c r="EG131" s="1"/>
      <c r="EH131" s="1"/>
    </row>
    <row r="132" spans="1:138">
      <c r="A132" s="177"/>
      <c r="B132" s="177"/>
      <c r="C132" s="177"/>
      <c r="D132" s="177"/>
      <c r="E132" s="177"/>
      <c r="F132" s="177"/>
      <c r="G132" s="177"/>
      <c r="H132" s="177"/>
      <c r="I132" s="177"/>
      <c r="J132" s="177"/>
      <c r="K132" s="177"/>
      <c r="L132" s="177"/>
      <c r="M132" s="177"/>
      <c r="N132" s="177"/>
      <c r="O132" s="177"/>
      <c r="P132" s="177"/>
      <c r="Q132" s="177"/>
      <c r="R132" s="177"/>
      <c r="S132" s="177"/>
      <c r="T132" s="177"/>
      <c r="U132" s="177"/>
      <c r="V132" s="177"/>
      <c r="W132" s="177"/>
      <c r="X132" s="177"/>
      <c r="Y132" s="177"/>
      <c r="Z132" s="177"/>
      <c r="AA132" s="177"/>
      <c r="AB132" s="177"/>
      <c r="AC132" s="177"/>
      <c r="AD132" s="177"/>
      <c r="AE132" s="177"/>
      <c r="AF132" s="177"/>
      <c r="AG132" s="177"/>
      <c r="AH132" s="177"/>
      <c r="AI132" s="177"/>
      <c r="AJ132" s="177"/>
      <c r="AK132" s="177"/>
      <c r="AL132" s="177"/>
      <c r="AM132" s="177"/>
      <c r="AN132" s="177"/>
      <c r="AO132" s="177"/>
      <c r="AP132" s="177"/>
      <c r="AQ132" s="177"/>
      <c r="AR132" s="177"/>
      <c r="AS132" s="177"/>
      <c r="AT132" s="177"/>
      <c r="AU132" s="177"/>
      <c r="AV132" s="177"/>
      <c r="AW132" s="177"/>
      <c r="AX132" s="177"/>
      <c r="AY132" s="177"/>
      <c r="AZ132" s="177"/>
      <c r="BA132" s="177"/>
      <c r="BB132" s="177"/>
      <c r="BC132" s="177"/>
      <c r="BD132" s="177"/>
      <c r="BE132" s="177"/>
      <c r="BF132" s="177"/>
      <c r="BG132" s="177"/>
      <c r="BH132" s="177"/>
      <c r="BI132" s="177"/>
      <c r="BJ132" s="177"/>
      <c r="BK132" s="177"/>
      <c r="BL132" s="177"/>
      <c r="BM132" s="177"/>
      <c r="BN132" s="177"/>
      <c r="BO132" s="177"/>
      <c r="BP132" s="177"/>
      <c r="BQ132" s="177"/>
      <c r="BR132" s="177"/>
      <c r="BS132" s="177"/>
      <c r="BT132" s="177"/>
      <c r="BU132" s="177"/>
      <c r="BV132" s="177"/>
      <c r="BW132" s="177"/>
      <c r="BX132" s="177"/>
      <c r="BY132" s="177"/>
      <c r="BZ132" s="177"/>
      <c r="CA132" s="177"/>
      <c r="CB132" s="177"/>
      <c r="CC132" s="177"/>
      <c r="CD132" s="177"/>
      <c r="CE132" s="177"/>
      <c r="CF132" s="177"/>
      <c r="CG132" s="177"/>
      <c r="CH132" s="177"/>
      <c r="CI132" s="177"/>
      <c r="CJ132" s="177"/>
      <c r="CK132" s="177"/>
      <c r="CL132" s="177"/>
      <c r="CM132" s="177"/>
      <c r="CN132" s="177"/>
      <c r="CO132" s="177"/>
      <c r="CP132" s="177"/>
      <c r="CQ132" s="177"/>
      <c r="CR132" s="177"/>
      <c r="CS132" s="177"/>
      <c r="CT132" s="177"/>
      <c r="CU132" s="177"/>
      <c r="CV132" s="177"/>
      <c r="CW132" s="177"/>
      <c r="CX132" s="177"/>
      <c r="CY132" s="177"/>
      <c r="CZ132" s="177"/>
      <c r="DA132" s="177"/>
      <c r="DB132" s="177"/>
      <c r="DC132" s="177"/>
      <c r="DD132" s="177"/>
      <c r="DE132" s="177"/>
      <c r="DF132" s="177"/>
      <c r="DG132" s="177"/>
      <c r="DH132" s="177"/>
      <c r="DI132" s="177"/>
      <c r="DJ132" s="177"/>
      <c r="DK132" s="177"/>
      <c r="DL132" s="177"/>
      <c r="DM132" s="177"/>
      <c r="DN132" s="177"/>
      <c r="DO132" s="1"/>
      <c r="DP132" s="1"/>
      <c r="DQ132" s="1"/>
      <c r="DR132" s="1"/>
      <c r="DS132" s="1"/>
      <c r="DT132" s="1"/>
      <c r="DU132" s="1"/>
      <c r="DV132" s="1"/>
      <c r="DW132" s="1"/>
      <c r="DX132" s="1"/>
      <c r="DY132" s="1"/>
      <c r="DZ132" s="1"/>
      <c r="EA132" s="1"/>
      <c r="EB132" s="1"/>
      <c r="EC132" s="1"/>
      <c r="ED132" s="1"/>
      <c r="EE132" s="1"/>
      <c r="EF132" s="1"/>
      <c r="EG132" s="1"/>
      <c r="EH132" s="1"/>
    </row>
    <row r="133" spans="1:138">
      <c r="A133" s="177"/>
      <c r="B133" s="177"/>
      <c r="C133" s="177"/>
      <c r="D133" s="177"/>
      <c r="E133" s="177"/>
      <c r="F133" s="177"/>
      <c r="G133" s="177"/>
      <c r="H133" s="177"/>
      <c r="I133" s="177"/>
      <c r="J133" s="177"/>
      <c r="K133" s="177"/>
      <c r="L133" s="177"/>
      <c r="M133" s="177"/>
      <c r="N133" s="177"/>
      <c r="O133" s="177"/>
      <c r="P133" s="177"/>
      <c r="Q133" s="177"/>
      <c r="R133" s="177"/>
      <c r="S133" s="177"/>
      <c r="T133" s="177"/>
      <c r="U133" s="177"/>
      <c r="V133" s="177"/>
      <c r="W133" s="177"/>
      <c r="X133" s="177"/>
      <c r="Y133" s="177"/>
      <c r="Z133" s="177"/>
      <c r="AA133" s="177"/>
      <c r="AB133" s="177"/>
      <c r="AC133" s="177"/>
      <c r="AD133" s="177"/>
      <c r="AE133" s="177"/>
      <c r="AF133" s="177"/>
      <c r="AG133" s="177"/>
      <c r="AH133" s="177"/>
      <c r="AI133" s="177"/>
      <c r="AJ133" s="177"/>
      <c r="AK133" s="177"/>
      <c r="AL133" s="177"/>
      <c r="AM133" s="177"/>
      <c r="AN133" s="177"/>
      <c r="AO133" s="177"/>
      <c r="AP133" s="177"/>
      <c r="AQ133" s="177"/>
      <c r="AR133" s="177"/>
      <c r="AS133" s="177"/>
      <c r="AT133" s="177"/>
      <c r="AU133" s="177"/>
      <c r="AV133" s="177"/>
      <c r="AW133" s="177"/>
      <c r="AX133" s="177"/>
      <c r="AY133" s="177"/>
      <c r="AZ133" s="177"/>
      <c r="BA133" s="177"/>
      <c r="BB133" s="177"/>
      <c r="BC133" s="177"/>
      <c r="BD133" s="177"/>
      <c r="BE133" s="177"/>
      <c r="BF133" s="177"/>
      <c r="BG133" s="177"/>
      <c r="BH133" s="177"/>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177"/>
      <c r="CM133" s="177"/>
      <c r="CN133" s="177"/>
      <c r="CO133" s="177"/>
      <c r="CP133" s="177"/>
      <c r="CQ133" s="177"/>
      <c r="CR133" s="177"/>
      <c r="CS133" s="177"/>
      <c r="CT133" s="177"/>
      <c r="CU133" s="177"/>
      <c r="CV133" s="177"/>
      <c r="CW133" s="177"/>
      <c r="CX133" s="177"/>
      <c r="CY133" s="177"/>
      <c r="CZ133" s="177"/>
      <c r="DA133" s="177"/>
      <c r="DB133" s="177"/>
      <c r="DC133" s="177"/>
      <c r="DD133" s="177"/>
      <c r="DE133" s="177"/>
      <c r="DF133" s="177"/>
      <c r="DG133" s="177"/>
      <c r="DH133" s="177"/>
      <c r="DI133" s="177"/>
      <c r="DJ133" s="177"/>
      <c r="DK133" s="177"/>
      <c r="DL133" s="177"/>
      <c r="DM133" s="177"/>
      <c r="DN133" s="177"/>
      <c r="DO133" s="1"/>
      <c r="DP133" s="1"/>
      <c r="DQ133" s="1"/>
      <c r="DR133" s="1"/>
      <c r="DS133" s="1"/>
      <c r="DT133" s="1"/>
      <c r="DU133" s="1"/>
      <c r="DV133" s="1"/>
      <c r="DW133" s="1"/>
      <c r="DX133" s="1"/>
      <c r="DY133" s="1"/>
      <c r="DZ133" s="1"/>
      <c r="EA133" s="1"/>
      <c r="EB133" s="1"/>
      <c r="EC133" s="1"/>
      <c r="ED133" s="1"/>
      <c r="EE133" s="1"/>
      <c r="EF133" s="1"/>
      <c r="EG133" s="1"/>
      <c r="EH133" s="1"/>
    </row>
    <row r="134" spans="1:138">
      <c r="A134" s="177"/>
      <c r="B134" s="177"/>
      <c r="C134" s="177"/>
      <c r="D134" s="177"/>
      <c r="E134" s="177"/>
      <c r="F134" s="177"/>
      <c r="G134" s="177"/>
      <c r="H134" s="177"/>
      <c r="I134" s="177"/>
      <c r="J134" s="177"/>
      <c r="K134" s="177"/>
      <c r="L134" s="177"/>
      <c r="M134" s="177"/>
      <c r="N134" s="177"/>
      <c r="O134" s="177"/>
      <c r="P134" s="177"/>
      <c r="Q134" s="177"/>
      <c r="R134" s="177"/>
      <c r="S134" s="177"/>
      <c r="T134" s="177"/>
      <c r="U134" s="177"/>
      <c r="V134" s="177"/>
      <c r="W134" s="177"/>
      <c r="X134" s="177"/>
      <c r="Y134" s="177"/>
      <c r="Z134" s="177"/>
      <c r="AA134" s="177"/>
      <c r="AB134" s="177"/>
      <c r="AC134" s="177"/>
      <c r="AD134" s="177"/>
      <c r="AE134" s="177"/>
      <c r="AF134" s="177"/>
      <c r="AG134" s="177"/>
      <c r="AH134" s="177"/>
      <c r="AI134" s="177"/>
      <c r="AJ134" s="177"/>
      <c r="AK134" s="177"/>
      <c r="AL134" s="177"/>
      <c r="AM134" s="177"/>
      <c r="AN134" s="177"/>
      <c r="AO134" s="177"/>
      <c r="AP134" s="177"/>
      <c r="AQ134" s="177"/>
      <c r="AR134" s="177"/>
      <c r="AS134" s="177"/>
      <c r="AT134" s="177"/>
      <c r="AU134" s="177"/>
      <c r="AV134" s="177"/>
      <c r="AW134" s="177"/>
      <c r="AX134" s="177"/>
      <c r="AY134" s="177"/>
      <c r="AZ134" s="177"/>
      <c r="BA134" s="177"/>
      <c r="BB134" s="177"/>
      <c r="BC134" s="177"/>
      <c r="BD134" s="177"/>
      <c r="BE134" s="177"/>
      <c r="BF134" s="177"/>
      <c r="BG134" s="177"/>
      <c r="BH134" s="177"/>
      <c r="BI134" s="177"/>
      <c r="BJ134" s="177"/>
      <c r="BK134" s="177"/>
      <c r="BL134" s="177"/>
      <c r="BM134" s="177"/>
      <c r="BN134" s="177"/>
      <c r="BO134" s="177"/>
      <c r="BP134" s="177"/>
      <c r="BQ134" s="177"/>
      <c r="BR134" s="177"/>
      <c r="BS134" s="177"/>
      <c r="BT134" s="177"/>
      <c r="BU134" s="177"/>
      <c r="BV134" s="177"/>
      <c r="BW134" s="177"/>
      <c r="BX134" s="177"/>
      <c r="BY134" s="177"/>
      <c r="BZ134" s="177"/>
      <c r="CA134" s="177"/>
      <c r="CB134" s="177"/>
      <c r="CC134" s="177"/>
      <c r="CD134" s="177"/>
      <c r="CE134" s="177"/>
      <c r="CF134" s="177"/>
      <c r="CG134" s="177"/>
      <c r="CH134" s="177"/>
      <c r="CI134" s="177"/>
      <c r="CJ134" s="177"/>
      <c r="CK134" s="177"/>
      <c r="CL134" s="177"/>
      <c r="CM134" s="177"/>
      <c r="CN134" s="177"/>
      <c r="CO134" s="177"/>
      <c r="CP134" s="177"/>
      <c r="CQ134" s="177"/>
      <c r="CR134" s="177"/>
      <c r="CS134" s="177"/>
      <c r="CT134" s="177"/>
      <c r="CU134" s="177"/>
      <c r="CV134" s="177"/>
      <c r="CW134" s="177"/>
      <c r="CX134" s="177"/>
      <c r="CY134" s="177"/>
      <c r="CZ134" s="177"/>
      <c r="DA134" s="177"/>
      <c r="DB134" s="177"/>
      <c r="DC134" s="177"/>
      <c r="DD134" s="177"/>
      <c r="DE134" s="177"/>
      <c r="DF134" s="177"/>
      <c r="DG134" s="177"/>
      <c r="DH134" s="177"/>
      <c r="DI134" s="177"/>
      <c r="DJ134" s="177"/>
      <c r="DK134" s="177"/>
      <c r="DL134" s="177"/>
      <c r="DM134" s="177"/>
      <c r="DN134" s="177"/>
      <c r="DO134" s="1"/>
      <c r="DP134" s="1"/>
      <c r="DQ134" s="1"/>
      <c r="DR134" s="1"/>
      <c r="DS134" s="1"/>
      <c r="DT134" s="1"/>
      <c r="DU134" s="1"/>
      <c r="DV134" s="1"/>
      <c r="DW134" s="1"/>
      <c r="DX134" s="1"/>
      <c r="DY134" s="1"/>
      <c r="DZ134" s="1"/>
      <c r="EA134" s="1"/>
      <c r="EB134" s="1"/>
      <c r="EC134" s="1"/>
      <c r="ED134" s="1"/>
      <c r="EE134" s="1"/>
      <c r="EF134" s="1"/>
      <c r="EG134" s="1"/>
      <c r="EH134" s="1"/>
    </row>
    <row r="135" spans="1:138">
      <c r="A135" s="177"/>
      <c r="B135" s="177"/>
      <c r="C135" s="177"/>
      <c r="D135" s="177"/>
      <c r="E135" s="177"/>
      <c r="F135" s="177"/>
      <c r="G135" s="177"/>
      <c r="H135" s="177"/>
      <c r="I135" s="177"/>
      <c r="J135" s="177"/>
      <c r="K135" s="177"/>
      <c r="L135" s="177"/>
      <c r="M135" s="177"/>
      <c r="N135" s="177"/>
      <c r="O135" s="177"/>
      <c r="P135" s="177"/>
      <c r="Q135" s="177"/>
      <c r="R135" s="177"/>
      <c r="S135" s="177"/>
      <c r="T135" s="177"/>
      <c r="U135" s="177"/>
      <c r="V135" s="177"/>
      <c r="W135" s="177"/>
      <c r="X135" s="177"/>
      <c r="Y135" s="177"/>
      <c r="Z135" s="177"/>
      <c r="AA135" s="177"/>
      <c r="AB135" s="177"/>
      <c r="AC135" s="177"/>
      <c r="AD135" s="177"/>
      <c r="AE135" s="177"/>
      <c r="AF135" s="177"/>
      <c r="AG135" s="177"/>
      <c r="AH135" s="177"/>
      <c r="AI135" s="177"/>
      <c r="AJ135" s="177"/>
      <c r="AK135" s="177"/>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7"/>
      <c r="CT135" s="177"/>
      <c r="CU135" s="177"/>
      <c r="CV135" s="177"/>
      <c r="CW135" s="177"/>
      <c r="CX135" s="177"/>
      <c r="CY135" s="177"/>
      <c r="CZ135" s="177"/>
      <c r="DA135" s="177"/>
      <c r="DB135" s="177"/>
      <c r="DC135" s="177"/>
      <c r="DD135" s="177"/>
      <c r="DE135" s="177"/>
      <c r="DF135" s="177"/>
      <c r="DG135" s="177"/>
      <c r="DH135" s="177"/>
      <c r="DI135" s="177"/>
      <c r="DJ135" s="177"/>
      <c r="DK135" s="177"/>
      <c r="DL135" s="177"/>
      <c r="DM135" s="177"/>
      <c r="DN135" s="177"/>
      <c r="DO135" s="1"/>
      <c r="DP135" s="1"/>
      <c r="DQ135" s="1"/>
      <c r="DR135" s="1"/>
      <c r="DS135" s="1"/>
      <c r="DT135" s="1"/>
      <c r="DU135" s="1"/>
      <c r="DV135" s="1"/>
      <c r="DW135" s="1"/>
      <c r="DX135" s="1"/>
      <c r="DY135" s="1"/>
      <c r="DZ135" s="1"/>
      <c r="EA135" s="1"/>
      <c r="EB135" s="1"/>
      <c r="EC135" s="1"/>
      <c r="ED135" s="1"/>
      <c r="EE135" s="1"/>
      <c r="EF135" s="1"/>
      <c r="EG135" s="1"/>
      <c r="EH135" s="1"/>
    </row>
    <row r="136" spans="1:138">
      <c r="A136" s="177"/>
      <c r="B136" s="177"/>
      <c r="C136" s="177"/>
      <c r="D136" s="177"/>
      <c r="E136" s="177"/>
      <c r="F136" s="177"/>
      <c r="G136" s="177"/>
      <c r="H136" s="177"/>
      <c r="I136" s="177"/>
      <c r="J136" s="177"/>
      <c r="K136" s="177"/>
      <c r="L136" s="177"/>
      <c r="M136" s="177"/>
      <c r="N136" s="177"/>
      <c r="O136" s="177"/>
      <c r="P136" s="177"/>
      <c r="Q136" s="177"/>
      <c r="R136" s="177"/>
      <c r="S136" s="177"/>
      <c r="T136" s="177"/>
      <c r="U136" s="177"/>
      <c r="V136" s="177"/>
      <c r="W136" s="177"/>
      <c r="X136" s="177"/>
      <c r="Y136" s="177"/>
      <c r="Z136" s="177"/>
      <c r="AA136" s="177"/>
      <c r="AB136" s="177"/>
      <c r="AC136" s="177"/>
      <c r="AD136" s="177"/>
      <c r="AE136" s="177"/>
      <c r="AF136" s="177"/>
      <c r="AG136" s="177"/>
      <c r="AH136" s="177"/>
      <c r="AI136" s="177"/>
      <c r="AJ136" s="177"/>
      <c r="AK136" s="177"/>
      <c r="AL136" s="177"/>
      <c r="AM136" s="177"/>
      <c r="AN136" s="177"/>
      <c r="AO136" s="177"/>
      <c r="AP136" s="177"/>
      <c r="AQ136" s="177"/>
      <c r="AR136" s="177"/>
      <c r="AS136" s="177"/>
      <c r="AT136" s="177"/>
      <c r="AU136" s="177"/>
      <c r="AV136" s="177"/>
      <c r="AW136" s="177"/>
      <c r="AX136" s="177"/>
      <c r="AY136" s="177"/>
      <c r="AZ136" s="177"/>
      <c r="BA136" s="177"/>
      <c r="BB136" s="177"/>
      <c r="BC136" s="177"/>
      <c r="BD136" s="177"/>
      <c r="BE136" s="177"/>
      <c r="BF136" s="177"/>
      <c r="BG136" s="177"/>
      <c r="BH136" s="177"/>
      <c r="BI136" s="177"/>
      <c r="BJ136" s="177"/>
      <c r="BK136" s="177"/>
      <c r="BL136" s="177"/>
      <c r="BM136" s="177"/>
      <c r="BN136" s="177"/>
      <c r="BO136" s="177"/>
      <c r="BP136" s="177"/>
      <c r="BQ136" s="177"/>
      <c r="BR136" s="177"/>
      <c r="BS136" s="177"/>
      <c r="BT136" s="177"/>
      <c r="BU136" s="177"/>
      <c r="BV136" s="177"/>
      <c r="BW136" s="177"/>
      <c r="BX136" s="177"/>
      <c r="BY136" s="177"/>
      <c r="BZ136" s="177"/>
      <c r="CA136" s="177"/>
      <c r="CB136" s="177"/>
      <c r="CC136" s="177"/>
      <c r="CD136" s="177"/>
      <c r="CE136" s="177"/>
      <c r="CF136" s="177"/>
      <c r="CG136" s="177"/>
      <c r="CH136" s="177"/>
      <c r="CI136" s="177"/>
      <c r="CJ136" s="177"/>
      <c r="CK136" s="177"/>
      <c r="CL136" s="177"/>
      <c r="CM136" s="177"/>
      <c r="CN136" s="177"/>
      <c r="CO136" s="177"/>
      <c r="CP136" s="177"/>
      <c r="CQ136" s="177"/>
      <c r="CR136" s="177"/>
      <c r="CS136" s="177"/>
      <c r="CT136" s="177"/>
      <c r="CU136" s="177"/>
      <c r="CV136" s="177"/>
      <c r="CW136" s="177"/>
      <c r="CX136" s="177"/>
      <c r="CY136" s="177"/>
      <c r="CZ136" s="177"/>
      <c r="DA136" s="177"/>
      <c r="DB136" s="177"/>
      <c r="DC136" s="177"/>
      <c r="DD136" s="177"/>
      <c r="DE136" s="177"/>
      <c r="DF136" s="177"/>
      <c r="DG136" s="177"/>
      <c r="DH136" s="177"/>
      <c r="DI136" s="177"/>
      <c r="DJ136" s="177"/>
      <c r="DK136" s="177"/>
      <c r="DL136" s="177"/>
      <c r="DM136" s="177"/>
      <c r="DN136" s="177"/>
      <c r="DO136" s="1"/>
      <c r="DP136" s="1"/>
      <c r="DQ136" s="1"/>
      <c r="DR136" s="1"/>
      <c r="DS136" s="1"/>
      <c r="DT136" s="1"/>
      <c r="DU136" s="1"/>
      <c r="DV136" s="1"/>
      <c r="DW136" s="1"/>
      <c r="DX136" s="1"/>
      <c r="DY136" s="1"/>
      <c r="DZ136" s="1"/>
      <c r="EA136" s="1"/>
      <c r="EB136" s="1"/>
      <c r="EC136" s="1"/>
      <c r="ED136" s="1"/>
      <c r="EE136" s="1"/>
      <c r="EF136" s="1"/>
      <c r="EG136" s="1"/>
      <c r="EH136" s="1"/>
    </row>
    <row r="137" spans="1:138">
      <c r="A137" s="177"/>
      <c r="B137" s="177"/>
      <c r="C137" s="177"/>
      <c r="D137" s="177"/>
      <c r="E137" s="177"/>
      <c r="F137" s="177"/>
      <c r="G137" s="177"/>
      <c r="H137" s="177"/>
      <c r="I137" s="177"/>
      <c r="J137" s="177"/>
      <c r="K137" s="177"/>
      <c r="L137" s="177"/>
      <c r="M137" s="177"/>
      <c r="N137" s="177"/>
      <c r="O137" s="177"/>
      <c r="P137" s="177"/>
      <c r="Q137" s="177"/>
      <c r="R137" s="177"/>
      <c r="S137" s="177"/>
      <c r="T137" s="177"/>
      <c r="U137" s="177"/>
      <c r="V137" s="177"/>
      <c r="W137" s="177"/>
      <c r="X137" s="177"/>
      <c r="Y137" s="177"/>
      <c r="Z137" s="177"/>
      <c r="AA137" s="177"/>
      <c r="AB137" s="177"/>
      <c r="AC137" s="177"/>
      <c r="AD137" s="177"/>
      <c r="AE137" s="177"/>
      <c r="AF137" s="177"/>
      <c r="AG137" s="177"/>
      <c r="AH137" s="177"/>
      <c r="AI137" s="177"/>
      <c r="AJ137" s="177"/>
      <c r="AK137" s="177"/>
      <c r="AL137" s="177"/>
      <c r="AM137" s="177"/>
      <c r="AN137" s="177"/>
      <c r="AO137" s="177"/>
      <c r="AP137" s="177"/>
      <c r="AQ137" s="177"/>
      <c r="AR137" s="177"/>
      <c r="AS137" s="177"/>
      <c r="AT137" s="177"/>
      <c r="AU137" s="177"/>
      <c r="AV137" s="177"/>
      <c r="AW137" s="177"/>
      <c r="AX137" s="177"/>
      <c r="AY137" s="177"/>
      <c r="AZ137" s="177"/>
      <c r="BA137" s="177"/>
      <c r="BB137" s="177"/>
      <c r="BC137" s="177"/>
      <c r="BD137" s="177"/>
      <c r="BE137" s="177"/>
      <c r="BF137" s="177"/>
      <c r="BG137" s="177"/>
      <c r="BH137" s="177"/>
      <c r="BI137" s="177"/>
      <c r="BJ137" s="177"/>
      <c r="BK137" s="177"/>
      <c r="BL137" s="177"/>
      <c r="BM137" s="177"/>
      <c r="BN137" s="177"/>
      <c r="BO137" s="177"/>
      <c r="BP137" s="177"/>
      <c r="BQ137" s="177"/>
      <c r="BR137" s="177"/>
      <c r="BS137" s="177"/>
      <c r="BT137" s="177"/>
      <c r="BU137" s="177"/>
      <c r="BV137" s="177"/>
      <c r="BW137" s="177"/>
      <c r="BX137" s="177"/>
      <c r="BY137" s="177"/>
      <c r="BZ137" s="177"/>
      <c r="CA137" s="177"/>
      <c r="CB137" s="177"/>
      <c r="CC137" s="177"/>
      <c r="CD137" s="177"/>
      <c r="CE137" s="177"/>
      <c r="CF137" s="177"/>
      <c r="CG137" s="177"/>
      <c r="CH137" s="177"/>
      <c r="CI137" s="177"/>
      <c r="CJ137" s="177"/>
      <c r="CK137" s="177"/>
      <c r="CL137" s="177"/>
      <c r="CM137" s="177"/>
      <c r="CN137" s="177"/>
      <c r="CO137" s="177"/>
      <c r="CP137" s="177"/>
      <c r="CQ137" s="177"/>
      <c r="CR137" s="177"/>
      <c r="CS137" s="177"/>
      <c r="CT137" s="177"/>
      <c r="CU137" s="177"/>
      <c r="CV137" s="177"/>
      <c r="CW137" s="177"/>
      <c r="CX137" s="177"/>
      <c r="CY137" s="177"/>
      <c r="CZ137" s="177"/>
      <c r="DA137" s="177"/>
      <c r="DB137" s="177"/>
      <c r="DC137" s="177"/>
      <c r="DD137" s="177"/>
      <c r="DE137" s="177"/>
      <c r="DF137" s="177"/>
      <c r="DG137" s="177"/>
      <c r="DH137" s="177"/>
      <c r="DI137" s="177"/>
      <c r="DJ137" s="177"/>
      <c r="DK137" s="177"/>
      <c r="DL137" s="177"/>
      <c r="DM137" s="177"/>
      <c r="DN137" s="177"/>
      <c r="DO137" s="1"/>
      <c r="DP137" s="1"/>
      <c r="DQ137" s="1"/>
      <c r="DR137" s="1"/>
      <c r="DS137" s="1"/>
      <c r="DT137" s="1"/>
      <c r="DU137" s="1"/>
      <c r="DV137" s="1"/>
      <c r="DW137" s="1"/>
      <c r="DX137" s="1"/>
      <c r="DY137" s="1"/>
      <c r="DZ137" s="1"/>
      <c r="EA137" s="1"/>
      <c r="EB137" s="1"/>
      <c r="EC137" s="1"/>
      <c r="ED137" s="1"/>
      <c r="EE137" s="1"/>
      <c r="EF137" s="1"/>
      <c r="EG137" s="1"/>
      <c r="EH137" s="1"/>
    </row>
    <row r="138" spans="1:138">
      <c r="A138" s="177"/>
      <c r="B138" s="177"/>
      <c r="C138" s="177"/>
      <c r="D138" s="177"/>
      <c r="E138" s="177"/>
      <c r="F138" s="177"/>
      <c r="G138" s="177"/>
      <c r="H138" s="177"/>
      <c r="I138" s="177"/>
      <c r="J138" s="177"/>
      <c r="K138" s="177"/>
      <c r="L138" s="177"/>
      <c r="M138" s="177"/>
      <c r="N138" s="177"/>
      <c r="O138" s="177"/>
      <c r="P138" s="177"/>
      <c r="Q138" s="177"/>
      <c r="R138" s="177"/>
      <c r="S138" s="177"/>
      <c r="T138" s="177"/>
      <c r="U138" s="177"/>
      <c r="V138" s="177"/>
      <c r="W138" s="177"/>
      <c r="X138" s="177"/>
      <c r="Y138" s="177"/>
      <c r="Z138" s="177"/>
      <c r="AA138" s="177"/>
      <c r="AB138" s="177"/>
      <c r="AC138" s="177"/>
      <c r="AD138" s="177"/>
      <c r="AE138" s="177"/>
      <c r="AF138" s="177"/>
      <c r="AG138" s="177"/>
      <c r="AH138" s="177"/>
      <c r="AI138" s="177"/>
      <c r="AJ138" s="177"/>
      <c r="AK138" s="177"/>
      <c r="AL138" s="177"/>
      <c r="AM138" s="177"/>
      <c r="AN138" s="177"/>
      <c r="AO138" s="177"/>
      <c r="AP138" s="177"/>
      <c r="AQ138" s="177"/>
      <c r="AR138" s="177"/>
      <c r="AS138" s="177"/>
      <c r="AT138" s="177"/>
      <c r="AU138" s="177"/>
      <c r="AV138" s="177"/>
      <c r="AW138" s="177"/>
      <c r="AX138" s="177"/>
      <c r="AY138" s="177"/>
      <c r="AZ138" s="177"/>
      <c r="BA138" s="177"/>
      <c r="BB138" s="177"/>
      <c r="BC138" s="177"/>
      <c r="BD138" s="177"/>
      <c r="BE138" s="177"/>
      <c r="BF138" s="177"/>
      <c r="BG138" s="177"/>
      <c r="BH138" s="177"/>
      <c r="BI138" s="177"/>
      <c r="BJ138" s="177"/>
      <c r="BK138" s="177"/>
      <c r="BL138" s="177"/>
      <c r="BM138" s="177"/>
      <c r="BN138" s="177"/>
      <c r="BO138" s="177"/>
      <c r="BP138" s="177"/>
      <c r="BQ138" s="177"/>
      <c r="BR138" s="177"/>
      <c r="BS138" s="177"/>
      <c r="BT138" s="177"/>
      <c r="BU138" s="177"/>
      <c r="BV138" s="177"/>
      <c r="BW138" s="177"/>
      <c r="BX138" s="177"/>
      <c r="BY138" s="177"/>
      <c r="BZ138" s="177"/>
      <c r="CA138" s="177"/>
      <c r="CB138" s="177"/>
      <c r="CC138" s="177"/>
      <c r="CD138" s="177"/>
      <c r="CE138" s="177"/>
      <c r="CF138" s="177"/>
      <c r="CG138" s="177"/>
      <c r="CH138" s="177"/>
      <c r="CI138" s="177"/>
      <c r="CJ138" s="177"/>
      <c r="CK138" s="177"/>
      <c r="CL138" s="177"/>
      <c r="CM138" s="177"/>
      <c r="CN138" s="177"/>
      <c r="CO138" s="177"/>
      <c r="CP138" s="177"/>
      <c r="CQ138" s="177"/>
      <c r="CR138" s="177"/>
      <c r="CS138" s="177"/>
      <c r="CT138" s="177"/>
      <c r="CU138" s="177"/>
      <c r="CV138" s="177"/>
      <c r="CW138" s="177"/>
      <c r="CX138" s="177"/>
      <c r="CY138" s="177"/>
      <c r="CZ138" s="177"/>
      <c r="DA138" s="177"/>
      <c r="DB138" s="177"/>
      <c r="DC138" s="177"/>
      <c r="DD138" s="177"/>
      <c r="DE138" s="177"/>
      <c r="DF138" s="177"/>
      <c r="DG138" s="177"/>
      <c r="DH138" s="177"/>
      <c r="DI138" s="177"/>
      <c r="DJ138" s="177"/>
      <c r="DK138" s="177"/>
      <c r="DL138" s="177"/>
      <c r="DM138" s="177"/>
      <c r="DN138" s="177"/>
      <c r="DO138" s="1"/>
      <c r="DP138" s="1"/>
      <c r="DQ138" s="1"/>
      <c r="DR138" s="1"/>
      <c r="DS138" s="1"/>
      <c r="DT138" s="1"/>
      <c r="DU138" s="1"/>
      <c r="DV138" s="1"/>
      <c r="DW138" s="1"/>
      <c r="DX138" s="1"/>
      <c r="DY138" s="1"/>
      <c r="DZ138" s="1"/>
      <c r="EA138" s="1"/>
      <c r="EB138" s="1"/>
      <c r="EC138" s="1"/>
      <c r="ED138" s="1"/>
      <c r="EE138" s="1"/>
      <c r="EF138" s="1"/>
      <c r="EG138" s="1"/>
      <c r="EH138" s="1"/>
    </row>
    <row r="139" spans="1:138">
      <c r="A139" s="177"/>
      <c r="B139" s="177"/>
      <c r="C139" s="177"/>
      <c r="D139" s="177"/>
      <c r="E139" s="177"/>
      <c r="F139" s="177"/>
      <c r="G139" s="177"/>
      <c r="H139" s="177"/>
      <c r="I139" s="177"/>
      <c r="J139" s="177"/>
      <c r="K139" s="177"/>
      <c r="L139" s="177"/>
      <c r="M139" s="177"/>
      <c r="N139" s="177"/>
      <c r="O139" s="177"/>
      <c r="P139" s="177"/>
      <c r="Q139" s="177"/>
      <c r="R139" s="177"/>
      <c r="S139" s="177"/>
      <c r="T139" s="177"/>
      <c r="U139" s="177"/>
      <c r="V139" s="177"/>
      <c r="W139" s="177"/>
      <c r="X139" s="177"/>
      <c r="Y139" s="177"/>
      <c r="Z139" s="177"/>
      <c r="AA139" s="177"/>
      <c r="AB139" s="177"/>
      <c r="AC139" s="177"/>
      <c r="AD139" s="177"/>
      <c r="AE139" s="177"/>
      <c r="AF139" s="177"/>
      <c r="AG139" s="177"/>
      <c r="AH139" s="177"/>
      <c r="AI139" s="177"/>
      <c r="AJ139" s="177"/>
      <c r="AK139" s="177"/>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7"/>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
      <c r="DP139" s="1"/>
      <c r="DQ139" s="1"/>
      <c r="DR139" s="1"/>
      <c r="DS139" s="1"/>
      <c r="DT139" s="1"/>
      <c r="DU139" s="1"/>
      <c r="DV139" s="1"/>
      <c r="DW139" s="1"/>
      <c r="DX139" s="1"/>
      <c r="DY139" s="1"/>
      <c r="DZ139" s="1"/>
      <c r="EA139" s="1"/>
      <c r="EB139" s="1"/>
      <c r="EC139" s="1"/>
      <c r="ED139" s="1"/>
      <c r="EE139" s="1"/>
      <c r="EF139" s="1"/>
      <c r="EG139" s="1"/>
      <c r="EH139" s="1"/>
    </row>
    <row r="140" spans="1:138">
      <c r="A140" s="177"/>
      <c r="B140" s="177"/>
      <c r="C140" s="177"/>
      <c r="D140" s="177"/>
      <c r="E140" s="177"/>
      <c r="F140" s="177"/>
      <c r="G140" s="177"/>
      <c r="H140" s="177"/>
      <c r="I140" s="177"/>
      <c r="J140" s="177"/>
      <c r="K140" s="177"/>
      <c r="L140" s="177"/>
      <c r="M140" s="177"/>
      <c r="N140" s="177"/>
      <c r="O140" s="177"/>
      <c r="P140" s="177"/>
      <c r="Q140" s="177"/>
      <c r="R140" s="177"/>
      <c r="S140" s="177"/>
      <c r="T140" s="177"/>
      <c r="U140" s="177"/>
      <c r="V140" s="177"/>
      <c r="W140" s="177"/>
      <c r="X140" s="177"/>
      <c r="Y140" s="177"/>
      <c r="Z140" s="177"/>
      <c r="AA140" s="177"/>
      <c r="AB140" s="177"/>
      <c r="AC140" s="177"/>
      <c r="AD140" s="177"/>
      <c r="AE140" s="177"/>
      <c r="AF140" s="177"/>
      <c r="AG140" s="177"/>
      <c r="AH140" s="177"/>
      <c r="AI140" s="177"/>
      <c r="AJ140" s="177"/>
      <c r="AK140" s="177"/>
      <c r="AL140" s="177"/>
      <c r="AM140" s="177"/>
      <c r="AN140" s="177"/>
      <c r="AO140" s="177"/>
      <c r="AP140" s="177"/>
      <c r="AQ140" s="177"/>
      <c r="AR140" s="177"/>
      <c r="AS140" s="177"/>
      <c r="AT140" s="177"/>
      <c r="AU140" s="177"/>
      <c r="AV140" s="177"/>
      <c r="AW140" s="177"/>
      <c r="AX140" s="177"/>
      <c r="AY140" s="177"/>
      <c r="AZ140" s="177"/>
      <c r="BA140" s="177"/>
      <c r="BB140" s="177"/>
      <c r="BC140" s="177"/>
      <c r="BD140" s="177"/>
      <c r="BE140" s="177"/>
      <c r="BF140" s="177"/>
      <c r="BG140" s="177"/>
      <c r="BH140" s="177"/>
      <c r="BI140" s="177"/>
      <c r="BJ140" s="177"/>
      <c r="BK140" s="177"/>
      <c r="BL140" s="177"/>
      <c r="BM140" s="177"/>
      <c r="BN140" s="177"/>
      <c r="BO140" s="177"/>
      <c r="BP140" s="177"/>
      <c r="BQ140" s="177"/>
      <c r="BR140" s="177"/>
      <c r="BS140" s="177"/>
      <c r="BT140" s="177"/>
      <c r="BU140" s="177"/>
      <c r="BV140" s="177"/>
      <c r="BW140" s="177"/>
      <c r="BX140" s="177"/>
      <c r="BY140" s="177"/>
      <c r="BZ140" s="177"/>
      <c r="CA140" s="177"/>
      <c r="CB140" s="177"/>
      <c r="CC140" s="177"/>
      <c r="CD140" s="177"/>
      <c r="CE140" s="177"/>
      <c r="CF140" s="177"/>
      <c r="CG140" s="177"/>
      <c r="CH140" s="177"/>
      <c r="CI140" s="177"/>
      <c r="CJ140" s="177"/>
      <c r="CK140" s="177"/>
      <c r="CL140" s="177"/>
      <c r="CM140" s="177"/>
      <c r="CN140" s="177"/>
      <c r="CO140" s="177"/>
      <c r="CP140" s="177"/>
      <c r="CQ140" s="177"/>
      <c r="CR140" s="177"/>
      <c r="CS140" s="177"/>
      <c r="CT140" s="177"/>
      <c r="CU140" s="177"/>
      <c r="CV140" s="177"/>
      <c r="CW140" s="177"/>
      <c r="CX140" s="177"/>
      <c r="CY140" s="177"/>
      <c r="CZ140" s="177"/>
      <c r="DA140" s="177"/>
      <c r="DB140" s="177"/>
      <c r="DC140" s="177"/>
      <c r="DD140" s="177"/>
      <c r="DE140" s="177"/>
      <c r="DF140" s="177"/>
      <c r="DG140" s="177"/>
      <c r="DH140" s="177"/>
      <c r="DI140" s="177"/>
      <c r="DJ140" s="177"/>
      <c r="DK140" s="177"/>
      <c r="DL140" s="177"/>
      <c r="DM140" s="177"/>
      <c r="DN140" s="177"/>
      <c r="DO140" s="1"/>
      <c r="DP140" s="1"/>
      <c r="DQ140" s="1"/>
      <c r="DR140" s="1"/>
      <c r="DS140" s="1"/>
      <c r="DT140" s="1"/>
      <c r="DU140" s="1"/>
      <c r="DV140" s="1"/>
      <c r="DW140" s="1"/>
      <c r="DX140" s="1"/>
      <c r="DY140" s="1"/>
      <c r="DZ140" s="1"/>
      <c r="EA140" s="1"/>
      <c r="EB140" s="1"/>
      <c r="EC140" s="1"/>
      <c r="ED140" s="1"/>
      <c r="EE140" s="1"/>
      <c r="EF140" s="1"/>
      <c r="EG140" s="1"/>
      <c r="EH140" s="1"/>
    </row>
    <row r="141" spans="1:138">
      <c r="A141" s="177"/>
      <c r="B141" s="177"/>
      <c r="C141" s="177"/>
      <c r="D141" s="177"/>
      <c r="E141" s="177"/>
      <c r="F141" s="177"/>
      <c r="G141" s="177"/>
      <c r="H141" s="177"/>
      <c r="I141" s="177"/>
      <c r="J141" s="177"/>
      <c r="K141" s="177"/>
      <c r="L141" s="177"/>
      <c r="M141" s="177"/>
      <c r="N141" s="177"/>
      <c r="O141" s="177"/>
      <c r="P141" s="177"/>
      <c r="Q141" s="177"/>
      <c r="R141" s="177"/>
      <c r="S141" s="177"/>
      <c r="T141" s="177"/>
      <c r="U141" s="177"/>
      <c r="V141" s="177"/>
      <c r="W141" s="177"/>
      <c r="X141" s="177"/>
      <c r="Y141" s="177"/>
      <c r="Z141" s="177"/>
      <c r="AA141" s="177"/>
      <c r="AB141" s="177"/>
      <c r="AC141" s="177"/>
      <c r="AD141" s="177"/>
      <c r="AE141" s="177"/>
      <c r="AF141" s="177"/>
      <c r="AG141" s="177"/>
      <c r="AH141" s="177"/>
      <c r="AI141" s="177"/>
      <c r="AJ141" s="177"/>
      <c r="AK141" s="177"/>
      <c r="AL141" s="177"/>
      <c r="AM141" s="177"/>
      <c r="AN141" s="177"/>
      <c r="AO141" s="177"/>
      <c r="AP141" s="177"/>
      <c r="AQ141" s="177"/>
      <c r="AR141" s="177"/>
      <c r="AS141" s="177"/>
      <c r="AT141" s="177"/>
      <c r="AU141" s="177"/>
      <c r="AV141" s="177"/>
      <c r="AW141" s="177"/>
      <c r="AX141" s="177"/>
      <c r="AY141" s="177"/>
      <c r="AZ141" s="177"/>
      <c r="BA141" s="177"/>
      <c r="BB141" s="177"/>
      <c r="BC141" s="177"/>
      <c r="BD141" s="177"/>
      <c r="BE141" s="177"/>
      <c r="BF141" s="177"/>
      <c r="BG141" s="177"/>
      <c r="BH141" s="177"/>
      <c r="BI141" s="177"/>
      <c r="BJ141" s="177"/>
      <c r="BK141" s="177"/>
      <c r="BL141" s="177"/>
      <c r="BM141" s="177"/>
      <c r="BN141" s="177"/>
      <c r="BO141" s="177"/>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7"/>
      <c r="CS141" s="177"/>
      <c r="CT141" s="177"/>
      <c r="CU141" s="177"/>
      <c r="CV141" s="177"/>
      <c r="CW141" s="177"/>
      <c r="CX141" s="177"/>
      <c r="CY141" s="177"/>
      <c r="CZ141" s="177"/>
      <c r="DA141" s="177"/>
      <c r="DB141" s="177"/>
      <c r="DC141" s="177"/>
      <c r="DD141" s="177"/>
      <c r="DE141" s="177"/>
      <c r="DF141" s="177"/>
      <c r="DG141" s="177"/>
      <c r="DH141" s="177"/>
      <c r="DI141" s="177"/>
      <c r="DJ141" s="177"/>
      <c r="DK141" s="177"/>
      <c r="DL141" s="177"/>
      <c r="DM141" s="177"/>
      <c r="DN141" s="177"/>
      <c r="DO141" s="1"/>
      <c r="DP141" s="1"/>
      <c r="DQ141" s="1"/>
      <c r="DR141" s="1"/>
      <c r="DS141" s="1"/>
      <c r="DT141" s="1"/>
      <c r="DU141" s="1"/>
      <c r="DV141" s="1"/>
      <c r="DW141" s="1"/>
      <c r="DX141" s="1"/>
      <c r="DY141" s="1"/>
      <c r="DZ141" s="1"/>
      <c r="EA141" s="1"/>
      <c r="EB141" s="1"/>
      <c r="EC141" s="1"/>
      <c r="ED141" s="1"/>
      <c r="EE141" s="1"/>
      <c r="EF141" s="1"/>
      <c r="EG141" s="1"/>
      <c r="EH141" s="1"/>
    </row>
    <row r="142" spans="1:138">
      <c r="A142" s="177"/>
      <c r="B142" s="177"/>
      <c r="C142" s="177"/>
      <c r="D142" s="177"/>
      <c r="E142" s="177"/>
      <c r="F142" s="177"/>
      <c r="G142" s="177"/>
      <c r="H142" s="177"/>
      <c r="I142" s="177"/>
      <c r="J142" s="177"/>
      <c r="K142" s="177"/>
      <c r="L142" s="177"/>
      <c r="M142" s="177"/>
      <c r="N142" s="177"/>
      <c r="O142" s="177"/>
      <c r="P142" s="177"/>
      <c r="Q142" s="177"/>
      <c r="R142" s="177"/>
      <c r="S142" s="177"/>
      <c r="T142" s="177"/>
      <c r="U142" s="177"/>
      <c r="V142" s="177"/>
      <c r="W142" s="177"/>
      <c r="X142" s="177"/>
      <c r="Y142" s="177"/>
      <c r="Z142" s="177"/>
      <c r="AA142" s="177"/>
      <c r="AB142" s="177"/>
      <c r="AC142" s="177"/>
      <c r="AD142" s="177"/>
      <c r="AE142" s="177"/>
      <c r="AF142" s="177"/>
      <c r="AG142" s="177"/>
      <c r="AH142" s="177"/>
      <c r="AI142" s="177"/>
      <c r="AJ142" s="177"/>
      <c r="AK142" s="177"/>
      <c r="AL142" s="177"/>
      <c r="AM142" s="177"/>
      <c r="AN142" s="177"/>
      <c r="AO142" s="177"/>
      <c r="AP142" s="177"/>
      <c r="AQ142" s="177"/>
      <c r="AR142" s="177"/>
      <c r="AS142" s="177"/>
      <c r="AT142" s="177"/>
      <c r="AU142" s="177"/>
      <c r="AV142" s="177"/>
      <c r="AW142" s="177"/>
      <c r="AX142" s="177"/>
      <c r="AY142" s="177"/>
      <c r="AZ142" s="177"/>
      <c r="BA142" s="177"/>
      <c r="BB142" s="177"/>
      <c r="BC142" s="177"/>
      <c r="BD142" s="177"/>
      <c r="BE142" s="177"/>
      <c r="BF142" s="177"/>
      <c r="BG142" s="177"/>
      <c r="BH142" s="177"/>
      <c r="BI142" s="177"/>
      <c r="BJ142" s="177"/>
      <c r="BK142" s="177"/>
      <c r="BL142" s="177"/>
      <c r="BM142" s="177"/>
      <c r="BN142" s="177"/>
      <c r="BO142" s="177"/>
      <c r="BP142" s="177"/>
      <c r="BQ142" s="177"/>
      <c r="BR142" s="177"/>
      <c r="BS142" s="177"/>
      <c r="BT142" s="177"/>
      <c r="BU142" s="177"/>
      <c r="BV142" s="177"/>
      <c r="BW142" s="177"/>
      <c r="BX142" s="177"/>
      <c r="BY142" s="177"/>
      <c r="BZ142" s="177"/>
      <c r="CA142" s="177"/>
      <c r="CB142" s="177"/>
      <c r="CC142" s="177"/>
      <c r="CD142" s="177"/>
      <c r="CE142" s="177"/>
      <c r="CF142" s="177"/>
      <c r="CG142" s="177"/>
      <c r="CH142" s="177"/>
      <c r="CI142" s="177"/>
      <c r="CJ142" s="177"/>
      <c r="CK142" s="177"/>
      <c r="CL142" s="177"/>
      <c r="CM142" s="177"/>
      <c r="CN142" s="177"/>
      <c r="CO142" s="177"/>
      <c r="CP142" s="177"/>
      <c r="CQ142" s="177"/>
      <c r="CR142" s="177"/>
      <c r="CS142" s="177"/>
      <c r="CT142" s="177"/>
      <c r="CU142" s="177"/>
      <c r="CV142" s="177"/>
      <c r="CW142" s="177"/>
      <c r="CX142" s="177"/>
      <c r="CY142" s="177"/>
      <c r="CZ142" s="177"/>
      <c r="DA142" s="177"/>
      <c r="DB142" s="177"/>
      <c r="DC142" s="177"/>
      <c r="DD142" s="177"/>
      <c r="DE142" s="177"/>
      <c r="DF142" s="177"/>
      <c r="DG142" s="177"/>
      <c r="DH142" s="177"/>
      <c r="DI142" s="177"/>
      <c r="DJ142" s="177"/>
      <c r="DK142" s="177"/>
      <c r="DL142" s="177"/>
      <c r="DM142" s="177"/>
      <c r="DN142" s="177"/>
      <c r="DO142" s="1"/>
      <c r="DP142" s="1"/>
      <c r="DQ142" s="1"/>
      <c r="DR142" s="1"/>
      <c r="DS142" s="1"/>
      <c r="DT142" s="1"/>
      <c r="DU142" s="1"/>
      <c r="DV142" s="1"/>
      <c r="DW142" s="1"/>
      <c r="DX142" s="1"/>
      <c r="DY142" s="1"/>
      <c r="DZ142" s="1"/>
      <c r="EA142" s="1"/>
      <c r="EB142" s="1"/>
      <c r="EC142" s="1"/>
      <c r="ED142" s="1"/>
      <c r="EE142" s="1"/>
      <c r="EF142" s="1"/>
      <c r="EG142" s="1"/>
      <c r="EH142" s="1"/>
    </row>
    <row r="143" spans="1:138">
      <c r="A143" s="177"/>
      <c r="B143" s="177"/>
      <c r="C143" s="177"/>
      <c r="D143" s="177"/>
      <c r="E143" s="177"/>
      <c r="F143" s="177"/>
      <c r="G143" s="177"/>
      <c r="H143" s="177"/>
      <c r="I143" s="177"/>
      <c r="J143" s="177"/>
      <c r="K143" s="177"/>
      <c r="L143" s="177"/>
      <c r="M143" s="177"/>
      <c r="N143" s="177"/>
      <c r="O143" s="177"/>
      <c r="P143" s="177"/>
      <c r="Q143" s="177"/>
      <c r="R143" s="177"/>
      <c r="S143" s="177"/>
      <c r="T143" s="177"/>
      <c r="U143" s="177"/>
      <c r="V143" s="177"/>
      <c r="W143" s="177"/>
      <c r="X143" s="177"/>
      <c r="Y143" s="177"/>
      <c r="Z143" s="177"/>
      <c r="AA143" s="177"/>
      <c r="AB143" s="177"/>
      <c r="AC143" s="177"/>
      <c r="AD143" s="177"/>
      <c r="AE143" s="177"/>
      <c r="AF143" s="177"/>
      <c r="AG143" s="177"/>
      <c r="AH143" s="177"/>
      <c r="AI143" s="177"/>
      <c r="AJ143" s="177"/>
      <c r="AK143" s="177"/>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
      <c r="DP143" s="1"/>
      <c r="DQ143" s="1"/>
      <c r="DR143" s="1"/>
      <c r="DS143" s="1"/>
      <c r="DT143" s="1"/>
      <c r="DU143" s="1"/>
      <c r="DV143" s="1"/>
      <c r="DW143" s="1"/>
      <c r="DX143" s="1"/>
      <c r="DY143" s="1"/>
      <c r="DZ143" s="1"/>
      <c r="EA143" s="1"/>
      <c r="EB143" s="1"/>
      <c r="EC143" s="1"/>
      <c r="ED143" s="1"/>
      <c r="EE143" s="1"/>
      <c r="EF143" s="1"/>
      <c r="EG143" s="1"/>
      <c r="EH143" s="1"/>
    </row>
    <row r="144" spans="1:138">
      <c r="A144" s="177"/>
      <c r="B144" s="177"/>
      <c r="C144" s="177"/>
      <c r="D144" s="177"/>
      <c r="E144" s="177"/>
      <c r="F144" s="177"/>
      <c r="G144" s="177"/>
      <c r="H144" s="177"/>
      <c r="I144" s="177"/>
      <c r="J144" s="177"/>
      <c r="K144" s="177"/>
      <c r="L144" s="177"/>
      <c r="M144" s="177"/>
      <c r="N144" s="177"/>
      <c r="O144" s="177"/>
      <c r="P144" s="177"/>
      <c r="Q144" s="177"/>
      <c r="R144" s="177"/>
      <c r="S144" s="177"/>
      <c r="T144" s="177"/>
      <c r="U144" s="177"/>
      <c r="V144" s="177"/>
      <c r="W144" s="177"/>
      <c r="X144" s="177"/>
      <c r="Y144" s="177"/>
      <c r="Z144" s="177"/>
      <c r="AA144" s="177"/>
      <c r="AB144" s="177"/>
      <c r="AC144" s="177"/>
      <c r="AD144" s="177"/>
      <c r="AE144" s="177"/>
      <c r="AF144" s="177"/>
      <c r="AG144" s="177"/>
      <c r="AH144" s="177"/>
      <c r="AI144" s="177"/>
      <c r="AJ144" s="177"/>
      <c r="AK144" s="177"/>
      <c r="AL144" s="177"/>
      <c r="AM144" s="177"/>
      <c r="AN144" s="177"/>
      <c r="AO144" s="177"/>
      <c r="AP144" s="177"/>
      <c r="AQ144" s="177"/>
      <c r="AR144" s="177"/>
      <c r="AS144" s="177"/>
      <c r="AT144" s="177"/>
      <c r="AU144" s="177"/>
      <c r="AV144" s="177"/>
      <c r="AW144" s="177"/>
      <c r="AX144" s="177"/>
      <c r="AY144" s="177"/>
      <c r="AZ144" s="177"/>
      <c r="BA144" s="177"/>
      <c r="BB144" s="177"/>
      <c r="BC144" s="177"/>
      <c r="BD144" s="177"/>
      <c r="BE144" s="177"/>
      <c r="BF144" s="177"/>
      <c r="BG144" s="177"/>
      <c r="BH144" s="177"/>
      <c r="BI144" s="177"/>
      <c r="BJ144" s="177"/>
      <c r="BK144" s="177"/>
      <c r="BL144" s="177"/>
      <c r="BM144" s="177"/>
      <c r="BN144" s="177"/>
      <c r="BO144" s="177"/>
      <c r="BP144" s="177"/>
      <c r="BQ144" s="177"/>
      <c r="BR144" s="177"/>
      <c r="BS144" s="177"/>
      <c r="BT144" s="177"/>
      <c r="BU144" s="177"/>
      <c r="BV144" s="177"/>
      <c r="BW144" s="177"/>
      <c r="BX144" s="177"/>
      <c r="BY144" s="177"/>
      <c r="BZ144" s="177"/>
      <c r="CA144" s="177"/>
      <c r="CB144" s="177"/>
      <c r="CC144" s="177"/>
      <c r="CD144" s="177"/>
      <c r="CE144" s="177"/>
      <c r="CF144" s="177"/>
      <c r="CG144" s="177"/>
      <c r="CH144" s="177"/>
      <c r="CI144" s="177"/>
      <c r="CJ144" s="177"/>
      <c r="CK144" s="177"/>
      <c r="CL144" s="177"/>
      <c r="CM144" s="177"/>
      <c r="CN144" s="177"/>
      <c r="CO144" s="177"/>
      <c r="CP144" s="177"/>
      <c r="CQ144" s="177"/>
      <c r="CR144" s="177"/>
      <c r="CS144" s="177"/>
      <c r="CT144" s="177"/>
      <c r="CU144" s="177"/>
      <c r="CV144" s="177"/>
      <c r="CW144" s="177"/>
      <c r="CX144" s="177"/>
      <c r="CY144" s="177"/>
      <c r="CZ144" s="177"/>
      <c r="DA144" s="177"/>
      <c r="DB144" s="177"/>
      <c r="DC144" s="177"/>
      <c r="DD144" s="177"/>
      <c r="DE144" s="177"/>
      <c r="DF144" s="177"/>
      <c r="DG144" s="177"/>
      <c r="DH144" s="177"/>
      <c r="DI144" s="177"/>
      <c r="DJ144" s="177"/>
      <c r="DK144" s="177"/>
      <c r="DL144" s="177"/>
      <c r="DM144" s="177"/>
      <c r="DN144" s="177"/>
      <c r="DO144" s="1"/>
      <c r="DP144" s="1"/>
      <c r="DQ144" s="1"/>
      <c r="DR144" s="1"/>
      <c r="DS144" s="1"/>
      <c r="DT144" s="1"/>
      <c r="DU144" s="1"/>
      <c r="DV144" s="1"/>
      <c r="DW144" s="1"/>
      <c r="DX144" s="1"/>
      <c r="DY144" s="1"/>
      <c r="DZ144" s="1"/>
      <c r="EA144" s="1"/>
      <c r="EB144" s="1"/>
      <c r="EC144" s="1"/>
      <c r="ED144" s="1"/>
      <c r="EE144" s="1"/>
      <c r="EF144" s="1"/>
      <c r="EG144" s="1"/>
      <c r="EH144" s="1"/>
    </row>
    <row r="145" spans="1:138">
      <c r="A145" s="177"/>
      <c r="B145" s="177"/>
      <c r="C145" s="177"/>
      <c r="D145" s="177"/>
      <c r="E145" s="177"/>
      <c r="F145" s="177"/>
      <c r="G145" s="177"/>
      <c r="H145" s="177"/>
      <c r="I145" s="177"/>
      <c r="J145" s="177"/>
      <c r="K145" s="177"/>
      <c r="L145" s="177"/>
      <c r="M145" s="177"/>
      <c r="N145" s="177"/>
      <c r="O145" s="177"/>
      <c r="P145" s="177"/>
      <c r="Q145" s="177"/>
      <c r="R145" s="177"/>
      <c r="S145" s="177"/>
      <c r="T145" s="177"/>
      <c r="U145" s="177"/>
      <c r="V145" s="177"/>
      <c r="W145" s="177"/>
      <c r="X145" s="177"/>
      <c r="Y145" s="177"/>
      <c r="Z145" s="177"/>
      <c r="AA145" s="177"/>
      <c r="AB145" s="177"/>
      <c r="AC145" s="177"/>
      <c r="AD145" s="177"/>
      <c r="AE145" s="177"/>
      <c r="AF145" s="177"/>
      <c r="AG145" s="177"/>
      <c r="AH145" s="177"/>
      <c r="AI145" s="177"/>
      <c r="AJ145" s="177"/>
      <c r="AK145" s="177"/>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177"/>
      <c r="BW145" s="177"/>
      <c r="BX145" s="177"/>
      <c r="BY145" s="177"/>
      <c r="BZ145" s="177"/>
      <c r="CA145" s="177"/>
      <c r="CB145" s="177"/>
      <c r="CC145" s="177"/>
      <c r="CD145" s="177"/>
      <c r="CE145" s="177"/>
      <c r="CF145" s="177"/>
      <c r="CG145" s="177"/>
      <c r="CH145" s="177"/>
      <c r="CI145" s="177"/>
      <c r="CJ145" s="177"/>
      <c r="CK145" s="177"/>
      <c r="CL145" s="177"/>
      <c r="CM145" s="177"/>
      <c r="CN145" s="177"/>
      <c r="CO145" s="177"/>
      <c r="CP145" s="177"/>
      <c r="CQ145" s="177"/>
      <c r="CR145" s="177"/>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
      <c r="DP145" s="1"/>
      <c r="DQ145" s="1"/>
      <c r="DR145" s="1"/>
      <c r="DS145" s="1"/>
      <c r="DT145" s="1"/>
      <c r="DU145" s="1"/>
      <c r="DV145" s="1"/>
      <c r="DW145" s="1"/>
      <c r="DX145" s="1"/>
      <c r="DY145" s="1"/>
      <c r="DZ145" s="1"/>
      <c r="EA145" s="1"/>
      <c r="EB145" s="1"/>
      <c r="EC145" s="1"/>
      <c r="ED145" s="1"/>
      <c r="EE145" s="1"/>
      <c r="EF145" s="1"/>
      <c r="EG145" s="1"/>
      <c r="EH145" s="1"/>
    </row>
    <row r="146" spans="1:138">
      <c r="A146" s="177"/>
      <c r="B146" s="177"/>
      <c r="C146" s="177"/>
      <c r="D146" s="177"/>
      <c r="E146" s="177"/>
      <c r="F146" s="177"/>
      <c r="G146" s="177"/>
      <c r="H146" s="177"/>
      <c r="I146" s="177"/>
      <c r="J146" s="177"/>
      <c r="K146" s="177"/>
      <c r="L146" s="177"/>
      <c r="M146" s="177"/>
      <c r="N146" s="177"/>
      <c r="O146" s="177"/>
      <c r="P146" s="177"/>
      <c r="Q146" s="177"/>
      <c r="R146" s="177"/>
      <c r="S146" s="177"/>
      <c r="T146" s="177"/>
      <c r="U146" s="177"/>
      <c r="V146" s="177"/>
      <c r="W146" s="177"/>
      <c r="X146" s="177"/>
      <c r="Y146" s="177"/>
      <c r="Z146" s="177"/>
      <c r="AA146" s="177"/>
      <c r="AB146" s="177"/>
      <c r="AC146" s="177"/>
      <c r="AD146" s="177"/>
      <c r="AE146" s="177"/>
      <c r="AF146" s="177"/>
      <c r="AG146" s="177"/>
      <c r="AH146" s="177"/>
      <c r="AI146" s="177"/>
      <c r="AJ146" s="177"/>
      <c r="AK146" s="177"/>
      <c r="AL146" s="177"/>
      <c r="AM146" s="177"/>
      <c r="AN146" s="177"/>
      <c r="AO146" s="177"/>
      <c r="AP146" s="177"/>
      <c r="AQ146" s="177"/>
      <c r="AR146" s="177"/>
      <c r="AS146" s="177"/>
      <c r="AT146" s="177"/>
      <c r="AU146" s="177"/>
      <c r="AV146" s="177"/>
      <c r="AW146" s="177"/>
      <c r="AX146" s="177"/>
      <c r="AY146" s="177"/>
      <c r="AZ146" s="177"/>
      <c r="BA146" s="177"/>
      <c r="BB146" s="177"/>
      <c r="BC146" s="177"/>
      <c r="BD146" s="177"/>
      <c r="BE146" s="177"/>
      <c r="BF146" s="177"/>
      <c r="BG146" s="177"/>
      <c r="BH146" s="177"/>
      <c r="BI146" s="177"/>
      <c r="BJ146" s="177"/>
      <c r="BK146" s="177"/>
      <c r="BL146" s="177"/>
      <c r="BM146" s="177"/>
      <c r="BN146" s="177"/>
      <c r="BO146" s="177"/>
      <c r="BP146" s="177"/>
      <c r="BQ146" s="177"/>
      <c r="BR146" s="177"/>
      <c r="BS146" s="177"/>
      <c r="BT146" s="177"/>
      <c r="BU146" s="177"/>
      <c r="BV146" s="177"/>
      <c r="BW146" s="177"/>
      <c r="BX146" s="177"/>
      <c r="BY146" s="177"/>
      <c r="BZ146" s="177"/>
      <c r="CA146" s="177"/>
      <c r="CB146" s="177"/>
      <c r="CC146" s="177"/>
      <c r="CD146" s="177"/>
      <c r="CE146" s="177"/>
      <c r="CF146" s="177"/>
      <c r="CG146" s="177"/>
      <c r="CH146" s="177"/>
      <c r="CI146" s="177"/>
      <c r="CJ146" s="177"/>
      <c r="CK146" s="177"/>
      <c r="CL146" s="177"/>
      <c r="CM146" s="177"/>
      <c r="CN146" s="177"/>
      <c r="CO146" s="177"/>
      <c r="CP146" s="177"/>
      <c r="CQ146" s="177"/>
      <c r="CR146" s="177"/>
      <c r="CS146" s="177"/>
      <c r="CT146" s="177"/>
      <c r="CU146" s="177"/>
      <c r="CV146" s="177"/>
      <c r="CW146" s="177"/>
      <c r="CX146" s="177"/>
      <c r="CY146" s="177"/>
      <c r="CZ146" s="177"/>
      <c r="DA146" s="177"/>
      <c r="DB146" s="177"/>
      <c r="DC146" s="177"/>
      <c r="DD146" s="177"/>
      <c r="DE146" s="177"/>
      <c r="DF146" s="177"/>
      <c r="DG146" s="177"/>
      <c r="DH146" s="177"/>
      <c r="DI146" s="177"/>
      <c r="DJ146" s="177"/>
      <c r="DK146" s="177"/>
      <c r="DL146" s="177"/>
      <c r="DM146" s="177"/>
      <c r="DN146" s="177"/>
      <c r="DO146" s="1"/>
      <c r="DP146" s="1"/>
      <c r="DQ146" s="1"/>
      <c r="DR146" s="1"/>
      <c r="DS146" s="1"/>
      <c r="DT146" s="1"/>
      <c r="DU146" s="1"/>
      <c r="DV146" s="1"/>
      <c r="DW146" s="1"/>
      <c r="DX146" s="1"/>
      <c r="DY146" s="1"/>
      <c r="DZ146" s="1"/>
      <c r="EA146" s="1"/>
      <c r="EB146" s="1"/>
      <c r="EC146" s="1"/>
      <c r="ED146" s="1"/>
      <c r="EE146" s="1"/>
      <c r="EF146" s="1"/>
      <c r="EG146" s="1"/>
      <c r="EH146" s="1"/>
    </row>
    <row r="147" spans="1:138">
      <c r="A147" s="177"/>
      <c r="B147" s="177"/>
      <c r="C147" s="177"/>
      <c r="D147" s="177"/>
      <c r="E147" s="177"/>
      <c r="F147" s="177"/>
      <c r="G147" s="177"/>
      <c r="H147" s="177"/>
      <c r="I147" s="177"/>
      <c r="J147" s="177"/>
      <c r="K147" s="177"/>
      <c r="L147" s="177"/>
      <c r="M147" s="177"/>
      <c r="N147" s="177"/>
      <c r="O147" s="177"/>
      <c r="P147" s="177"/>
      <c r="Q147" s="177"/>
      <c r="R147" s="177"/>
      <c r="S147" s="177"/>
      <c r="T147" s="177"/>
      <c r="U147" s="177"/>
      <c r="V147" s="177"/>
      <c r="W147" s="177"/>
      <c r="X147" s="177"/>
      <c r="Y147" s="177"/>
      <c r="Z147" s="177"/>
      <c r="AA147" s="177"/>
      <c r="AB147" s="177"/>
      <c r="AC147" s="177"/>
      <c r="AD147" s="177"/>
      <c r="AE147" s="177"/>
      <c r="AF147" s="177"/>
      <c r="AG147" s="177"/>
      <c r="AH147" s="177"/>
      <c r="AI147" s="177"/>
      <c r="AJ147" s="177"/>
      <c r="AK147" s="177"/>
      <c r="AL147" s="1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
      <c r="DP147" s="1"/>
      <c r="DQ147" s="1"/>
      <c r="DR147" s="1"/>
      <c r="DS147" s="1"/>
      <c r="DT147" s="1"/>
      <c r="DU147" s="1"/>
      <c r="DV147" s="1"/>
      <c r="DW147" s="1"/>
      <c r="DX147" s="1"/>
      <c r="DY147" s="1"/>
      <c r="DZ147" s="1"/>
      <c r="EA147" s="1"/>
      <c r="EB147" s="1"/>
      <c r="EC147" s="1"/>
      <c r="ED147" s="1"/>
      <c r="EE147" s="1"/>
      <c r="EF147" s="1"/>
      <c r="EG147" s="1"/>
      <c r="EH147" s="1"/>
    </row>
    <row r="148" spans="1:138">
      <c r="A148" s="177"/>
      <c r="B148" s="177"/>
      <c r="C148" s="177"/>
      <c r="D148" s="177"/>
      <c r="E148" s="177"/>
      <c r="F148" s="177"/>
      <c r="G148" s="177"/>
      <c r="H148" s="177"/>
      <c r="I148" s="177"/>
      <c r="J148" s="177"/>
      <c r="K148" s="177"/>
      <c r="L148" s="177"/>
      <c r="M148" s="177"/>
      <c r="N148" s="177"/>
      <c r="O148" s="177"/>
      <c r="P148" s="177"/>
      <c r="Q148" s="177"/>
      <c r="R148" s="177"/>
      <c r="S148" s="177"/>
      <c r="T148" s="177"/>
      <c r="U148" s="177"/>
      <c r="V148" s="177"/>
      <c r="W148" s="177"/>
      <c r="X148" s="177"/>
      <c r="Y148" s="177"/>
      <c r="Z148" s="177"/>
      <c r="AA148" s="177"/>
      <c r="AB148" s="177"/>
      <c r="AC148" s="177"/>
      <c r="AD148" s="177"/>
      <c r="AE148" s="177"/>
      <c r="AF148" s="177"/>
      <c r="AG148" s="177"/>
      <c r="AH148" s="177"/>
      <c r="AI148" s="177"/>
      <c r="AJ148" s="177"/>
      <c r="AK148" s="177"/>
      <c r="AL148" s="177"/>
      <c r="AM148" s="177"/>
      <c r="AN148" s="177"/>
      <c r="AO148" s="177"/>
      <c r="AP148" s="177"/>
      <c r="AQ148" s="177"/>
      <c r="AR148" s="177"/>
      <c r="AS148" s="177"/>
      <c r="AT148" s="177"/>
      <c r="AU148" s="177"/>
      <c r="AV148" s="177"/>
      <c r="AW148" s="177"/>
      <c r="AX148" s="177"/>
      <c r="AY148" s="177"/>
      <c r="AZ148" s="177"/>
      <c r="BA148" s="177"/>
      <c r="BB148" s="177"/>
      <c r="BC148" s="177"/>
      <c r="BD148" s="177"/>
      <c r="BE148" s="177"/>
      <c r="BF148" s="177"/>
      <c r="BG148" s="177"/>
      <c r="BH148" s="177"/>
      <c r="BI148" s="177"/>
      <c r="BJ148" s="177"/>
      <c r="BK148" s="177"/>
      <c r="BL148" s="177"/>
      <c r="BM148" s="177"/>
      <c r="BN148" s="177"/>
      <c r="BO148" s="177"/>
      <c r="BP148" s="177"/>
      <c r="BQ148" s="177"/>
      <c r="BR148" s="177"/>
      <c r="BS148" s="177"/>
      <c r="BT148" s="177"/>
      <c r="BU148" s="177"/>
      <c r="BV148" s="177"/>
      <c r="BW148" s="177"/>
      <c r="BX148" s="177"/>
      <c r="BY148" s="177"/>
      <c r="BZ148" s="177"/>
      <c r="CA148" s="177"/>
      <c r="CB148" s="177"/>
      <c r="CC148" s="177"/>
      <c r="CD148" s="177"/>
      <c r="CE148" s="177"/>
      <c r="CF148" s="177"/>
      <c r="CG148" s="177"/>
      <c r="CH148" s="177"/>
      <c r="CI148" s="177"/>
      <c r="CJ148" s="177"/>
      <c r="CK148" s="177"/>
      <c r="CL148" s="177"/>
      <c r="CM148" s="177"/>
      <c r="CN148" s="177"/>
      <c r="CO148" s="177"/>
      <c r="CP148" s="177"/>
      <c r="CQ148" s="177"/>
      <c r="CR148" s="177"/>
      <c r="CS148" s="177"/>
      <c r="CT148" s="177"/>
      <c r="CU148" s="177"/>
      <c r="CV148" s="177"/>
      <c r="CW148" s="177"/>
      <c r="CX148" s="177"/>
      <c r="CY148" s="177"/>
      <c r="CZ148" s="177"/>
      <c r="DA148" s="177"/>
      <c r="DB148" s="177"/>
      <c r="DC148" s="177"/>
      <c r="DD148" s="177"/>
      <c r="DE148" s="177"/>
      <c r="DF148" s="177"/>
      <c r="DG148" s="177"/>
      <c r="DH148" s="177"/>
      <c r="DI148" s="177"/>
      <c r="DJ148" s="177"/>
      <c r="DK148" s="177"/>
      <c r="DL148" s="177"/>
      <c r="DM148" s="177"/>
      <c r="DN148" s="177"/>
      <c r="DO148" s="1"/>
      <c r="DP148" s="1"/>
      <c r="DQ148" s="1"/>
      <c r="DR148" s="1"/>
      <c r="DS148" s="1"/>
      <c r="DT148" s="1"/>
      <c r="DU148" s="1"/>
      <c r="DV148" s="1"/>
      <c r="DW148" s="1"/>
      <c r="DX148" s="1"/>
      <c r="DY148" s="1"/>
      <c r="DZ148" s="1"/>
      <c r="EA148" s="1"/>
      <c r="EB148" s="1"/>
      <c r="EC148" s="1"/>
      <c r="ED148" s="1"/>
      <c r="EE148" s="1"/>
      <c r="EF148" s="1"/>
      <c r="EG148" s="1"/>
      <c r="EH148" s="1"/>
    </row>
    <row r="149" spans="1:138">
      <c r="A149" s="177"/>
      <c r="B149" s="177"/>
      <c r="C149" s="177"/>
      <c r="D149" s="177"/>
      <c r="E149" s="177"/>
      <c r="F149" s="177"/>
      <c r="G149" s="177"/>
      <c r="H149" s="177"/>
      <c r="I149" s="177"/>
      <c r="J149" s="177"/>
      <c r="K149" s="177"/>
      <c r="L149" s="177"/>
      <c r="M149" s="177"/>
      <c r="N149" s="177"/>
      <c r="O149" s="177"/>
      <c r="P149" s="177"/>
      <c r="Q149" s="177"/>
      <c r="R149" s="177"/>
      <c r="S149" s="177"/>
      <c r="T149" s="177"/>
      <c r="U149" s="177"/>
      <c r="V149" s="177"/>
      <c r="W149" s="177"/>
      <c r="X149" s="177"/>
      <c r="Y149" s="177"/>
      <c r="Z149" s="177"/>
      <c r="AA149" s="177"/>
      <c r="AB149" s="177"/>
      <c r="AC149" s="177"/>
      <c r="AD149" s="177"/>
      <c r="AE149" s="177"/>
      <c r="AF149" s="177"/>
      <c r="AG149" s="177"/>
      <c r="AH149" s="177"/>
      <c r="AI149" s="177"/>
      <c r="AJ149" s="177"/>
      <c r="AK149" s="177"/>
      <c r="AL149" s="177"/>
      <c r="AM149" s="177"/>
      <c r="AN149" s="177"/>
      <c r="AO149" s="177"/>
      <c r="AP149" s="177"/>
      <c r="AQ149" s="177"/>
      <c r="AR149" s="177"/>
      <c r="AS149" s="177"/>
      <c r="AT149" s="177"/>
      <c r="AU149" s="177"/>
      <c r="AV149" s="177"/>
      <c r="AW149" s="177"/>
      <c r="AX149" s="177"/>
      <c r="AY149" s="177"/>
      <c r="AZ149" s="177"/>
      <c r="BA149" s="177"/>
      <c r="BB149" s="177"/>
      <c r="BC149" s="177"/>
      <c r="BD149" s="177"/>
      <c r="BE149" s="177"/>
      <c r="BF149" s="177"/>
      <c r="BG149" s="177"/>
      <c r="BH149" s="177"/>
      <c r="BI149" s="177"/>
      <c r="BJ149" s="177"/>
      <c r="BK149" s="177"/>
      <c r="BL149" s="177"/>
      <c r="BM149" s="177"/>
      <c r="BN149" s="177"/>
      <c r="BO149" s="177"/>
      <c r="BP149" s="177"/>
      <c r="BQ149" s="177"/>
      <c r="BR149" s="177"/>
      <c r="BS149" s="177"/>
      <c r="BT149" s="177"/>
      <c r="BU149" s="177"/>
      <c r="BV149" s="177"/>
      <c r="BW149" s="177"/>
      <c r="BX149" s="177"/>
      <c r="BY149" s="177"/>
      <c r="BZ149" s="177"/>
      <c r="CA149" s="177"/>
      <c r="CB149" s="177"/>
      <c r="CC149" s="177"/>
      <c r="CD149" s="177"/>
      <c r="CE149" s="177"/>
      <c r="CF149" s="177"/>
      <c r="CG149" s="177"/>
      <c r="CH149" s="177"/>
      <c r="CI149" s="177"/>
      <c r="CJ149" s="177"/>
      <c r="CK149" s="177"/>
      <c r="CL149" s="177"/>
      <c r="CM149" s="177"/>
      <c r="CN149" s="177"/>
      <c r="CO149" s="177"/>
      <c r="CP149" s="177"/>
      <c r="CQ149" s="177"/>
      <c r="CR149" s="177"/>
      <c r="CS149" s="177"/>
      <c r="CT149" s="177"/>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
      <c r="DP149" s="1"/>
      <c r="DQ149" s="1"/>
      <c r="DR149" s="1"/>
      <c r="DS149" s="1"/>
      <c r="DT149" s="1"/>
      <c r="DU149" s="1"/>
      <c r="DV149" s="1"/>
      <c r="DW149" s="1"/>
      <c r="DX149" s="1"/>
      <c r="DY149" s="1"/>
      <c r="DZ149" s="1"/>
      <c r="EA149" s="1"/>
      <c r="EB149" s="1"/>
      <c r="EC149" s="1"/>
      <c r="ED149" s="1"/>
      <c r="EE149" s="1"/>
      <c r="EF149" s="1"/>
      <c r="EG149" s="1"/>
      <c r="EH149" s="1"/>
    </row>
    <row r="150" spans="1:138">
      <c r="A150" s="177"/>
      <c r="B150" s="177"/>
      <c r="C150" s="177"/>
      <c r="D150" s="177"/>
      <c r="E150" s="177"/>
      <c r="F150" s="177"/>
      <c r="G150" s="177"/>
      <c r="H150" s="177"/>
      <c r="I150" s="177"/>
      <c r="J150" s="177"/>
      <c r="K150" s="177"/>
      <c r="L150" s="177"/>
      <c r="M150" s="177"/>
      <c r="N150" s="177"/>
      <c r="O150" s="177"/>
      <c r="P150" s="177"/>
      <c r="Q150" s="177"/>
      <c r="R150" s="177"/>
      <c r="S150" s="177"/>
      <c r="T150" s="177"/>
      <c r="U150" s="177"/>
      <c r="V150" s="177"/>
      <c r="W150" s="177"/>
      <c r="X150" s="177"/>
      <c r="Y150" s="177"/>
      <c r="Z150" s="177"/>
      <c r="AA150" s="177"/>
      <c r="AB150" s="177"/>
      <c r="AC150" s="177"/>
      <c r="AD150" s="177"/>
      <c r="AE150" s="177"/>
      <c r="AF150" s="177"/>
      <c r="AG150" s="177"/>
      <c r="AH150" s="177"/>
      <c r="AI150" s="177"/>
      <c r="AJ150" s="177"/>
      <c r="AK150" s="177"/>
      <c r="AL150" s="177"/>
      <c r="AM150" s="177"/>
      <c r="AN150" s="177"/>
      <c r="AO150" s="177"/>
      <c r="AP150" s="177"/>
      <c r="AQ150" s="177"/>
      <c r="AR150" s="177"/>
      <c r="AS150" s="177"/>
      <c r="AT150" s="177"/>
      <c r="AU150" s="177"/>
      <c r="AV150" s="177"/>
      <c r="AW150" s="177"/>
      <c r="AX150" s="177"/>
      <c r="AY150" s="177"/>
      <c r="AZ150" s="177"/>
      <c r="BA150" s="177"/>
      <c r="BB150" s="177"/>
      <c r="BC150" s="177"/>
      <c r="BD150" s="177"/>
      <c r="BE150" s="177"/>
      <c r="BF150" s="177"/>
      <c r="BG150" s="177"/>
      <c r="BH150" s="177"/>
      <c r="BI150" s="177"/>
      <c r="BJ150" s="177"/>
      <c r="BK150" s="177"/>
      <c r="BL150" s="177"/>
      <c r="BM150" s="177"/>
      <c r="BN150" s="177"/>
      <c r="BO150" s="177"/>
      <c r="BP150" s="177"/>
      <c r="BQ150" s="177"/>
      <c r="BR150" s="177"/>
      <c r="BS150" s="177"/>
      <c r="BT150" s="177"/>
      <c r="BU150" s="177"/>
      <c r="BV150" s="177"/>
      <c r="BW150" s="177"/>
      <c r="BX150" s="177"/>
      <c r="BY150" s="177"/>
      <c r="BZ150" s="177"/>
      <c r="CA150" s="177"/>
      <c r="CB150" s="177"/>
      <c r="CC150" s="177"/>
      <c r="CD150" s="177"/>
      <c r="CE150" s="177"/>
      <c r="CF150" s="177"/>
      <c r="CG150" s="177"/>
      <c r="CH150" s="177"/>
      <c r="CI150" s="177"/>
      <c r="CJ150" s="177"/>
      <c r="CK150" s="177"/>
      <c r="CL150" s="177"/>
      <c r="CM150" s="177"/>
      <c r="CN150" s="177"/>
      <c r="CO150" s="177"/>
      <c r="CP150" s="177"/>
      <c r="CQ150" s="177"/>
      <c r="CR150" s="177"/>
      <c r="CS150" s="177"/>
      <c r="CT150" s="177"/>
      <c r="CU150" s="177"/>
      <c r="CV150" s="177"/>
      <c r="CW150" s="177"/>
      <c r="CX150" s="177"/>
      <c r="CY150" s="177"/>
      <c r="CZ150" s="177"/>
      <c r="DA150" s="177"/>
      <c r="DB150" s="177"/>
      <c r="DC150" s="177"/>
      <c r="DD150" s="177"/>
      <c r="DE150" s="177"/>
      <c r="DF150" s="177"/>
      <c r="DG150" s="177"/>
      <c r="DH150" s="177"/>
      <c r="DI150" s="177"/>
      <c r="DJ150" s="177"/>
      <c r="DK150" s="177"/>
      <c r="DL150" s="177"/>
      <c r="DM150" s="177"/>
      <c r="DN150" s="177"/>
      <c r="DO150" s="1"/>
      <c r="DP150" s="1"/>
      <c r="DQ150" s="1"/>
      <c r="DR150" s="1"/>
      <c r="DS150" s="1"/>
      <c r="DT150" s="1"/>
      <c r="DU150" s="1"/>
      <c r="DV150" s="1"/>
      <c r="DW150" s="1"/>
      <c r="DX150" s="1"/>
      <c r="DY150" s="1"/>
      <c r="DZ150" s="1"/>
      <c r="EA150" s="1"/>
      <c r="EB150" s="1"/>
      <c r="EC150" s="1"/>
      <c r="ED150" s="1"/>
      <c r="EE150" s="1"/>
      <c r="EF150" s="1"/>
      <c r="EG150" s="1"/>
      <c r="EH150" s="1"/>
    </row>
    <row r="151" spans="1:138">
      <c r="A151" s="177"/>
      <c r="B151" s="177"/>
      <c r="C151" s="177"/>
      <c r="D151" s="177"/>
      <c r="E151" s="177"/>
      <c r="F151" s="177"/>
      <c r="G151" s="177"/>
      <c r="H151" s="177"/>
      <c r="I151" s="177"/>
      <c r="J151" s="177"/>
      <c r="K151" s="177"/>
      <c r="L151" s="177"/>
      <c r="M151" s="177"/>
      <c r="N151" s="177"/>
      <c r="O151" s="177"/>
      <c r="P151" s="177"/>
      <c r="Q151" s="177"/>
      <c r="R151" s="177"/>
      <c r="S151" s="177"/>
      <c r="T151" s="177"/>
      <c r="U151" s="177"/>
      <c r="V151" s="177"/>
      <c r="W151" s="177"/>
      <c r="X151" s="177"/>
      <c r="Y151" s="177"/>
      <c r="Z151" s="177"/>
      <c r="AA151" s="177"/>
      <c r="AB151" s="177"/>
      <c r="AC151" s="177"/>
      <c r="AD151" s="177"/>
      <c r="AE151" s="177"/>
      <c r="AF151" s="177"/>
      <c r="AG151" s="177"/>
      <c r="AH151" s="177"/>
      <c r="AI151" s="177"/>
      <c r="AJ151" s="177"/>
      <c r="AK151" s="177"/>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7"/>
      <c r="CT151" s="177"/>
      <c r="CU151" s="177"/>
      <c r="CV151" s="177"/>
      <c r="CW151" s="177"/>
      <c r="CX151" s="177"/>
      <c r="CY151" s="177"/>
      <c r="CZ151" s="177"/>
      <c r="DA151" s="177"/>
      <c r="DB151" s="177"/>
      <c r="DC151" s="177"/>
      <c r="DD151" s="177"/>
      <c r="DE151" s="177"/>
      <c r="DF151" s="177"/>
      <c r="DG151" s="177"/>
      <c r="DH151" s="177"/>
      <c r="DI151" s="177"/>
      <c r="DJ151" s="177"/>
      <c r="DK151" s="177"/>
      <c r="DL151" s="177"/>
      <c r="DM151" s="177"/>
      <c r="DN151" s="177"/>
      <c r="DO151" s="1"/>
      <c r="DP151" s="1"/>
      <c r="DQ151" s="1"/>
      <c r="DR151" s="1"/>
      <c r="DS151" s="1"/>
      <c r="DT151" s="1"/>
      <c r="DU151" s="1"/>
      <c r="DV151" s="1"/>
      <c r="DW151" s="1"/>
      <c r="DX151" s="1"/>
      <c r="DY151" s="1"/>
      <c r="DZ151" s="1"/>
      <c r="EA151" s="1"/>
      <c r="EB151" s="1"/>
      <c r="EC151" s="1"/>
      <c r="ED151" s="1"/>
      <c r="EE151" s="1"/>
      <c r="EF151" s="1"/>
      <c r="EG151" s="1"/>
      <c r="EH151" s="1"/>
    </row>
    <row r="152" spans="1:138">
      <c r="A152" s="177"/>
      <c r="B152" s="177"/>
      <c r="C152" s="177"/>
      <c r="D152" s="177"/>
      <c r="E152" s="177"/>
      <c r="F152" s="177"/>
      <c r="G152" s="177"/>
      <c r="H152" s="177"/>
      <c r="I152" s="177"/>
      <c r="J152" s="177"/>
      <c r="K152" s="177"/>
      <c r="L152" s="177"/>
      <c r="M152" s="177"/>
      <c r="N152" s="177"/>
      <c r="O152" s="177"/>
      <c r="P152" s="177"/>
      <c r="Q152" s="177"/>
      <c r="R152" s="177"/>
      <c r="S152" s="177"/>
      <c r="T152" s="177"/>
      <c r="U152" s="177"/>
      <c r="V152" s="177"/>
      <c r="W152" s="177"/>
      <c r="X152" s="177"/>
      <c r="Y152" s="177"/>
      <c r="Z152" s="177"/>
      <c r="AA152" s="177"/>
      <c r="AB152" s="177"/>
      <c r="AC152" s="177"/>
      <c r="AD152" s="177"/>
      <c r="AE152" s="177"/>
      <c r="AF152" s="177"/>
      <c r="AG152" s="177"/>
      <c r="AH152" s="177"/>
      <c r="AI152" s="177"/>
      <c r="AJ152" s="177"/>
      <c r="AK152" s="177"/>
      <c r="AL152" s="177"/>
      <c r="AM152" s="177"/>
      <c r="AN152" s="177"/>
      <c r="AO152" s="177"/>
      <c r="AP152" s="177"/>
      <c r="AQ152" s="177"/>
      <c r="AR152" s="177"/>
      <c r="AS152" s="177"/>
      <c r="AT152" s="177"/>
      <c r="AU152" s="177"/>
      <c r="AV152" s="177"/>
      <c r="AW152" s="177"/>
      <c r="AX152" s="177"/>
      <c r="AY152" s="177"/>
      <c r="AZ152" s="177"/>
      <c r="BA152" s="177"/>
      <c r="BB152" s="177"/>
      <c r="BC152" s="177"/>
      <c r="BD152" s="177"/>
      <c r="BE152" s="177"/>
      <c r="BF152" s="177"/>
      <c r="BG152" s="177"/>
      <c r="BH152" s="177"/>
      <c r="BI152" s="177"/>
      <c r="BJ152" s="177"/>
      <c r="BK152" s="177"/>
      <c r="BL152" s="177"/>
      <c r="BM152" s="177"/>
      <c r="BN152" s="177"/>
      <c r="BO152" s="177"/>
      <c r="BP152" s="177"/>
      <c r="BQ152" s="177"/>
      <c r="BR152" s="177"/>
      <c r="BS152" s="177"/>
      <c r="BT152" s="177"/>
      <c r="BU152" s="177"/>
      <c r="BV152" s="177"/>
      <c r="BW152" s="177"/>
      <c r="BX152" s="177"/>
      <c r="BY152" s="177"/>
      <c r="BZ152" s="177"/>
      <c r="CA152" s="177"/>
      <c r="CB152" s="177"/>
      <c r="CC152" s="177"/>
      <c r="CD152" s="177"/>
      <c r="CE152" s="177"/>
      <c r="CF152" s="177"/>
      <c r="CG152" s="177"/>
      <c r="CH152" s="177"/>
      <c r="CI152" s="177"/>
      <c r="CJ152" s="177"/>
      <c r="CK152" s="177"/>
      <c r="CL152" s="177"/>
      <c r="CM152" s="177"/>
      <c r="CN152" s="177"/>
      <c r="CO152" s="177"/>
      <c r="CP152" s="177"/>
      <c r="CQ152" s="177"/>
      <c r="CR152" s="177"/>
      <c r="CS152" s="177"/>
      <c r="CT152" s="177"/>
      <c r="CU152" s="177"/>
      <c r="CV152" s="177"/>
      <c r="CW152" s="177"/>
      <c r="CX152" s="177"/>
      <c r="CY152" s="177"/>
      <c r="CZ152" s="177"/>
      <c r="DA152" s="177"/>
      <c r="DB152" s="177"/>
      <c r="DC152" s="177"/>
      <c r="DD152" s="177"/>
      <c r="DE152" s="177"/>
      <c r="DF152" s="177"/>
      <c r="DG152" s="177"/>
      <c r="DH152" s="177"/>
      <c r="DI152" s="177"/>
      <c r="DJ152" s="177"/>
      <c r="DK152" s="177"/>
      <c r="DL152" s="177"/>
      <c r="DM152" s="177"/>
      <c r="DN152" s="177"/>
      <c r="DO152" s="1"/>
      <c r="DP152" s="1"/>
      <c r="DQ152" s="1"/>
      <c r="DR152" s="1"/>
      <c r="DS152" s="1"/>
      <c r="DT152" s="1"/>
      <c r="DU152" s="1"/>
      <c r="DV152" s="1"/>
      <c r="DW152" s="1"/>
      <c r="DX152" s="1"/>
      <c r="DY152" s="1"/>
      <c r="DZ152" s="1"/>
      <c r="EA152" s="1"/>
      <c r="EB152" s="1"/>
      <c r="EC152" s="1"/>
      <c r="ED152" s="1"/>
      <c r="EE152" s="1"/>
      <c r="EF152" s="1"/>
      <c r="EG152" s="1"/>
      <c r="EH152" s="1"/>
    </row>
    <row r="153" spans="1:138">
      <c r="A153" s="177"/>
      <c r="B153" s="177"/>
      <c r="C153" s="177"/>
      <c r="D153" s="177"/>
      <c r="E153" s="177"/>
      <c r="F153" s="177"/>
      <c r="G153" s="177"/>
      <c r="H153" s="177"/>
      <c r="I153" s="177"/>
      <c r="J153" s="177"/>
      <c r="K153" s="177"/>
      <c r="L153" s="177"/>
      <c r="M153" s="177"/>
      <c r="N153" s="177"/>
      <c r="O153" s="177"/>
      <c r="P153" s="177"/>
      <c r="Q153" s="177"/>
      <c r="R153" s="177"/>
      <c r="S153" s="177"/>
      <c r="T153" s="177"/>
      <c r="U153" s="177"/>
      <c r="V153" s="177"/>
      <c r="W153" s="177"/>
      <c r="X153" s="177"/>
      <c r="Y153" s="177"/>
      <c r="Z153" s="177"/>
      <c r="AA153" s="177"/>
      <c r="AB153" s="177"/>
      <c r="AC153" s="177"/>
      <c r="AD153" s="177"/>
      <c r="AE153" s="177"/>
      <c r="AF153" s="177"/>
      <c r="AG153" s="177"/>
      <c r="AH153" s="177"/>
      <c r="AI153" s="177"/>
      <c r="AJ153" s="177"/>
      <c r="AK153" s="177"/>
      <c r="AL153" s="177"/>
      <c r="AM153" s="177"/>
      <c r="AN153" s="177"/>
      <c r="AO153" s="177"/>
      <c r="AP153" s="177"/>
      <c r="AQ153" s="177"/>
      <c r="AR153" s="177"/>
      <c r="AS153" s="177"/>
      <c r="AT153" s="177"/>
      <c r="AU153" s="177"/>
      <c r="AV153" s="177"/>
      <c r="AW153" s="177"/>
      <c r="AX153" s="177"/>
      <c r="AY153" s="177"/>
      <c r="AZ153" s="177"/>
      <c r="BA153" s="177"/>
      <c r="BB153" s="177"/>
      <c r="BC153" s="177"/>
      <c r="BD153" s="177"/>
      <c r="BE153" s="177"/>
      <c r="BF153" s="177"/>
      <c r="BG153" s="177"/>
      <c r="BH153" s="177"/>
      <c r="BI153" s="177"/>
      <c r="BJ153" s="177"/>
      <c r="BK153" s="177"/>
      <c r="BL153" s="177"/>
      <c r="BM153" s="177"/>
      <c r="BN153" s="177"/>
      <c r="BO153" s="177"/>
      <c r="BP153" s="177"/>
      <c r="BQ153" s="177"/>
      <c r="BR153" s="177"/>
      <c r="BS153" s="177"/>
      <c r="BT153" s="177"/>
      <c r="BU153" s="177"/>
      <c r="BV153" s="177"/>
      <c r="BW153" s="177"/>
      <c r="BX153" s="177"/>
      <c r="BY153" s="177"/>
      <c r="BZ153" s="177"/>
      <c r="CA153" s="177"/>
      <c r="CB153" s="177"/>
      <c r="CC153" s="177"/>
      <c r="CD153" s="177"/>
      <c r="CE153" s="177"/>
      <c r="CF153" s="177"/>
      <c r="CG153" s="177"/>
      <c r="CH153" s="177"/>
      <c r="CI153" s="177"/>
      <c r="CJ153" s="177"/>
      <c r="CK153" s="177"/>
      <c r="CL153" s="177"/>
      <c r="CM153" s="177"/>
      <c r="CN153" s="177"/>
      <c r="CO153" s="177"/>
      <c r="CP153" s="177"/>
      <c r="CQ153" s="177"/>
      <c r="CR153" s="177"/>
      <c r="CS153" s="177"/>
      <c r="CT153" s="177"/>
      <c r="CU153" s="177"/>
      <c r="CV153" s="177"/>
      <c r="CW153" s="177"/>
      <c r="CX153" s="177"/>
      <c r="CY153" s="177"/>
      <c r="CZ153" s="177"/>
      <c r="DA153" s="177"/>
      <c r="DB153" s="177"/>
      <c r="DC153" s="177"/>
      <c r="DD153" s="177"/>
      <c r="DE153" s="177"/>
      <c r="DF153" s="177"/>
      <c r="DG153" s="177"/>
      <c r="DH153" s="177"/>
      <c r="DI153" s="177"/>
      <c r="DJ153" s="177"/>
      <c r="DK153" s="177"/>
      <c r="DL153" s="177"/>
      <c r="DM153" s="177"/>
      <c r="DN153" s="177"/>
      <c r="DO153" s="1"/>
      <c r="DP153" s="1"/>
      <c r="DQ153" s="1"/>
      <c r="DR153" s="1"/>
      <c r="DS153" s="1"/>
      <c r="DT153" s="1"/>
      <c r="DU153" s="1"/>
      <c r="DV153" s="1"/>
      <c r="DW153" s="1"/>
      <c r="DX153" s="1"/>
      <c r="DY153" s="1"/>
      <c r="DZ153" s="1"/>
      <c r="EA153" s="1"/>
      <c r="EB153" s="1"/>
      <c r="EC153" s="1"/>
      <c r="ED153" s="1"/>
      <c r="EE153" s="1"/>
      <c r="EF153" s="1"/>
      <c r="EG153" s="1"/>
      <c r="EH153" s="1"/>
    </row>
    <row r="154" spans="1:138">
      <c r="A154" s="177"/>
      <c r="B154" s="177"/>
      <c r="C154" s="177"/>
      <c r="D154" s="177"/>
      <c r="E154" s="177"/>
      <c r="F154" s="177"/>
      <c r="G154" s="177"/>
      <c r="H154" s="177"/>
      <c r="I154" s="177"/>
      <c r="J154" s="177"/>
      <c r="K154" s="177"/>
      <c r="L154" s="177"/>
      <c r="M154" s="177"/>
      <c r="N154" s="177"/>
      <c r="O154" s="177"/>
      <c r="P154" s="177"/>
      <c r="Q154" s="177"/>
      <c r="R154" s="177"/>
      <c r="S154" s="177"/>
      <c r="T154" s="177"/>
      <c r="U154" s="177"/>
      <c r="V154" s="177"/>
      <c r="W154" s="177"/>
      <c r="X154" s="177"/>
      <c r="Y154" s="177"/>
      <c r="Z154" s="177"/>
      <c r="AA154" s="177"/>
      <c r="AB154" s="177"/>
      <c r="AC154" s="177"/>
      <c r="AD154" s="177"/>
      <c r="AE154" s="177"/>
      <c r="AF154" s="177"/>
      <c r="AG154" s="177"/>
      <c r="AH154" s="177"/>
      <c r="AI154" s="177"/>
      <c r="AJ154" s="177"/>
      <c r="AK154" s="177"/>
      <c r="AL154" s="177"/>
      <c r="AM154" s="177"/>
      <c r="AN154" s="177"/>
      <c r="AO154" s="177"/>
      <c r="AP154" s="177"/>
      <c r="AQ154" s="177"/>
      <c r="AR154" s="177"/>
      <c r="AS154" s="177"/>
      <c r="AT154" s="177"/>
      <c r="AU154" s="177"/>
      <c r="AV154" s="177"/>
      <c r="AW154" s="177"/>
      <c r="AX154" s="177"/>
      <c r="AY154" s="177"/>
      <c r="AZ154" s="177"/>
      <c r="BA154" s="177"/>
      <c r="BB154" s="177"/>
      <c r="BC154" s="177"/>
      <c r="BD154" s="177"/>
      <c r="BE154" s="177"/>
      <c r="BF154" s="177"/>
      <c r="BG154" s="177"/>
      <c r="BH154" s="177"/>
      <c r="BI154" s="177"/>
      <c r="BJ154" s="177"/>
      <c r="BK154" s="177"/>
      <c r="BL154" s="177"/>
      <c r="BM154" s="177"/>
      <c r="BN154" s="177"/>
      <c r="BO154" s="177"/>
      <c r="BP154" s="177"/>
      <c r="BQ154" s="177"/>
      <c r="BR154" s="177"/>
      <c r="BS154" s="177"/>
      <c r="BT154" s="177"/>
      <c r="BU154" s="177"/>
      <c r="BV154" s="177"/>
      <c r="BW154" s="177"/>
      <c r="BX154" s="177"/>
      <c r="BY154" s="177"/>
      <c r="BZ154" s="177"/>
      <c r="CA154" s="177"/>
      <c r="CB154" s="177"/>
      <c r="CC154" s="177"/>
      <c r="CD154" s="177"/>
      <c r="CE154" s="177"/>
      <c r="CF154" s="177"/>
      <c r="CG154" s="177"/>
      <c r="CH154" s="177"/>
      <c r="CI154" s="177"/>
      <c r="CJ154" s="177"/>
      <c r="CK154" s="177"/>
      <c r="CL154" s="177"/>
      <c r="CM154" s="177"/>
      <c r="CN154" s="177"/>
      <c r="CO154" s="177"/>
      <c r="CP154" s="177"/>
      <c r="CQ154" s="177"/>
      <c r="CR154" s="177"/>
      <c r="CS154" s="177"/>
      <c r="CT154" s="177"/>
      <c r="CU154" s="177"/>
      <c r="CV154" s="177"/>
      <c r="CW154" s="177"/>
      <c r="CX154" s="177"/>
      <c r="CY154" s="177"/>
      <c r="CZ154" s="177"/>
      <c r="DA154" s="177"/>
      <c r="DB154" s="177"/>
      <c r="DC154" s="177"/>
      <c r="DD154" s="177"/>
      <c r="DE154" s="177"/>
      <c r="DF154" s="177"/>
      <c r="DG154" s="177"/>
      <c r="DH154" s="177"/>
      <c r="DI154" s="177"/>
      <c r="DJ154" s="177"/>
      <c r="DK154" s="177"/>
      <c r="DL154" s="177"/>
      <c r="DM154" s="177"/>
      <c r="DN154" s="177"/>
      <c r="DO154" s="1"/>
      <c r="DP154" s="1"/>
      <c r="DQ154" s="1"/>
      <c r="DR154" s="1"/>
      <c r="DS154" s="1"/>
      <c r="DT154" s="1"/>
      <c r="DU154" s="1"/>
      <c r="DV154" s="1"/>
      <c r="DW154" s="1"/>
      <c r="DX154" s="1"/>
      <c r="DY154" s="1"/>
      <c r="DZ154" s="1"/>
      <c r="EA154" s="1"/>
      <c r="EB154" s="1"/>
      <c r="EC154" s="1"/>
      <c r="ED154" s="1"/>
      <c r="EE154" s="1"/>
      <c r="EF154" s="1"/>
      <c r="EG154" s="1"/>
      <c r="EH154" s="1"/>
    </row>
    <row r="155" spans="1:138">
      <c r="A155" s="177"/>
      <c r="B155" s="177"/>
      <c r="C155" s="177"/>
      <c r="D155" s="177"/>
      <c r="E155" s="177"/>
      <c r="F155" s="177"/>
      <c r="G155" s="177"/>
      <c r="H155" s="177"/>
      <c r="I155" s="177"/>
      <c r="J155" s="177"/>
      <c r="K155" s="177"/>
      <c r="L155" s="177"/>
      <c r="M155" s="177"/>
      <c r="N155" s="177"/>
      <c r="O155" s="177"/>
      <c r="P155" s="177"/>
      <c r="Q155" s="177"/>
      <c r="R155" s="177"/>
      <c r="S155" s="177"/>
      <c r="T155" s="177"/>
      <c r="U155" s="177"/>
      <c r="V155" s="177"/>
      <c r="W155" s="177"/>
      <c r="X155" s="177"/>
      <c r="Y155" s="177"/>
      <c r="Z155" s="177"/>
      <c r="AA155" s="177"/>
      <c r="AB155" s="177"/>
      <c r="AC155" s="177"/>
      <c r="AD155" s="177"/>
      <c r="AE155" s="177"/>
      <c r="AF155" s="177"/>
      <c r="AG155" s="177"/>
      <c r="AH155" s="177"/>
      <c r="AI155" s="177"/>
      <c r="AJ155" s="177"/>
      <c r="AK155" s="177"/>
      <c r="AL155" s="177"/>
      <c r="AM155" s="177"/>
      <c r="AN155" s="177"/>
      <c r="AO155" s="177"/>
      <c r="AP155" s="177"/>
      <c r="AQ155" s="177"/>
      <c r="AR155" s="177"/>
      <c r="AS155" s="177"/>
      <c r="AT155" s="177"/>
      <c r="AU155" s="177"/>
      <c r="AV155" s="177"/>
      <c r="AW155" s="177"/>
      <c r="AX155" s="177"/>
      <c r="AY155" s="177"/>
      <c r="AZ155" s="177"/>
      <c r="BA155" s="177"/>
      <c r="BB155" s="177"/>
      <c r="BC155" s="177"/>
      <c r="BD155" s="177"/>
      <c r="BE155" s="177"/>
      <c r="BF155" s="177"/>
      <c r="BG155" s="177"/>
      <c r="BH155" s="177"/>
      <c r="BI155" s="177"/>
      <c r="BJ155" s="177"/>
      <c r="BK155" s="177"/>
      <c r="BL155" s="177"/>
      <c r="BM155" s="177"/>
      <c r="BN155" s="177"/>
      <c r="BO155" s="177"/>
      <c r="BP155" s="177"/>
      <c r="BQ155" s="177"/>
      <c r="BR155" s="177"/>
      <c r="BS155" s="177"/>
      <c r="BT155" s="177"/>
      <c r="BU155" s="177"/>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
      <c r="DP155" s="1"/>
      <c r="DQ155" s="1"/>
      <c r="DR155" s="1"/>
      <c r="DS155" s="1"/>
      <c r="DT155" s="1"/>
      <c r="DU155" s="1"/>
      <c r="DV155" s="1"/>
      <c r="DW155" s="1"/>
      <c r="DX155" s="1"/>
      <c r="DY155" s="1"/>
      <c r="DZ155" s="1"/>
      <c r="EA155" s="1"/>
      <c r="EB155" s="1"/>
      <c r="EC155" s="1"/>
      <c r="ED155" s="1"/>
      <c r="EE155" s="1"/>
      <c r="EF155" s="1"/>
      <c r="EG155" s="1"/>
      <c r="EH155" s="1"/>
    </row>
    <row r="156" spans="1:138">
      <c r="A156" s="177"/>
      <c r="B156" s="177"/>
      <c r="C156" s="177"/>
      <c r="D156" s="177"/>
      <c r="E156" s="177"/>
      <c r="F156" s="177"/>
      <c r="G156" s="177"/>
      <c r="H156" s="177"/>
      <c r="I156" s="177"/>
      <c r="J156" s="177"/>
      <c r="K156" s="177"/>
      <c r="L156" s="177"/>
      <c r="M156" s="177"/>
      <c r="N156" s="177"/>
      <c r="O156" s="177"/>
      <c r="P156" s="177"/>
      <c r="Q156" s="177"/>
      <c r="R156" s="177"/>
      <c r="S156" s="177"/>
      <c r="T156" s="177"/>
      <c r="U156" s="177"/>
      <c r="V156" s="177"/>
      <c r="W156" s="177"/>
      <c r="X156" s="177"/>
      <c r="Y156" s="177"/>
      <c r="Z156" s="177"/>
      <c r="AA156" s="177"/>
      <c r="AB156" s="177"/>
      <c r="AC156" s="177"/>
      <c r="AD156" s="177"/>
      <c r="AE156" s="177"/>
      <c r="AF156" s="177"/>
      <c r="AG156" s="177"/>
      <c r="AH156" s="177"/>
      <c r="AI156" s="177"/>
      <c r="AJ156" s="177"/>
      <c r="AK156" s="177"/>
      <c r="AL156" s="177"/>
      <c r="AM156" s="177"/>
      <c r="AN156" s="177"/>
      <c r="AO156" s="177"/>
      <c r="AP156" s="177"/>
      <c r="AQ156" s="177"/>
      <c r="AR156" s="177"/>
      <c r="AS156" s="177"/>
      <c r="AT156" s="177"/>
      <c r="AU156" s="177"/>
      <c r="AV156" s="177"/>
      <c r="AW156" s="177"/>
      <c r="AX156" s="177"/>
      <c r="AY156" s="177"/>
      <c r="AZ156" s="177"/>
      <c r="BA156" s="177"/>
      <c r="BB156" s="177"/>
      <c r="BC156" s="177"/>
      <c r="BD156" s="177"/>
      <c r="BE156" s="177"/>
      <c r="BF156" s="177"/>
      <c r="BG156" s="177"/>
      <c r="BH156" s="177"/>
      <c r="BI156" s="177"/>
      <c r="BJ156" s="177"/>
      <c r="BK156" s="177"/>
      <c r="BL156" s="177"/>
      <c r="BM156" s="177"/>
      <c r="BN156" s="177"/>
      <c r="BO156" s="177"/>
      <c r="BP156" s="177"/>
      <c r="BQ156" s="177"/>
      <c r="BR156" s="177"/>
      <c r="BS156" s="177"/>
      <c r="BT156" s="177"/>
      <c r="BU156" s="177"/>
      <c r="BV156" s="177"/>
      <c r="BW156" s="177"/>
      <c r="BX156" s="177"/>
      <c r="BY156" s="177"/>
      <c r="BZ156" s="177"/>
      <c r="CA156" s="177"/>
      <c r="CB156" s="177"/>
      <c r="CC156" s="177"/>
      <c r="CD156" s="177"/>
      <c r="CE156" s="177"/>
      <c r="CF156" s="177"/>
      <c r="CG156" s="177"/>
      <c r="CH156" s="177"/>
      <c r="CI156" s="177"/>
      <c r="CJ156" s="177"/>
      <c r="CK156" s="177"/>
      <c r="CL156" s="177"/>
      <c r="CM156" s="177"/>
      <c r="CN156" s="177"/>
      <c r="CO156" s="177"/>
      <c r="CP156" s="177"/>
      <c r="CQ156" s="177"/>
      <c r="CR156" s="177"/>
      <c r="CS156" s="177"/>
      <c r="CT156" s="177"/>
      <c r="CU156" s="177"/>
      <c r="CV156" s="177"/>
      <c r="CW156" s="177"/>
      <c r="CX156" s="177"/>
      <c r="CY156" s="177"/>
      <c r="CZ156" s="177"/>
      <c r="DA156" s="177"/>
      <c r="DB156" s="177"/>
      <c r="DC156" s="177"/>
      <c r="DD156" s="177"/>
      <c r="DE156" s="177"/>
      <c r="DF156" s="177"/>
      <c r="DG156" s="177"/>
      <c r="DH156" s="177"/>
      <c r="DI156" s="177"/>
      <c r="DJ156" s="177"/>
      <c r="DK156" s="177"/>
      <c r="DL156" s="177"/>
      <c r="DM156" s="177"/>
      <c r="DN156" s="177"/>
      <c r="DO156" s="1"/>
      <c r="DP156" s="1"/>
      <c r="DQ156" s="1"/>
      <c r="DR156" s="1"/>
      <c r="DS156" s="1"/>
      <c r="DT156" s="1"/>
      <c r="DU156" s="1"/>
      <c r="DV156" s="1"/>
      <c r="DW156" s="1"/>
      <c r="DX156" s="1"/>
      <c r="DY156" s="1"/>
      <c r="DZ156" s="1"/>
      <c r="EA156" s="1"/>
      <c r="EB156" s="1"/>
      <c r="EC156" s="1"/>
      <c r="ED156" s="1"/>
      <c r="EE156" s="1"/>
      <c r="EF156" s="1"/>
      <c r="EG156" s="1"/>
      <c r="EH156" s="1"/>
    </row>
    <row r="157" spans="1:138">
      <c r="A157" s="177"/>
      <c r="B157" s="177"/>
      <c r="C157" s="177"/>
      <c r="D157" s="177"/>
      <c r="E157" s="177"/>
      <c r="F157" s="177"/>
      <c r="G157" s="177"/>
      <c r="H157" s="177"/>
      <c r="I157" s="177"/>
      <c r="J157" s="177"/>
      <c r="K157" s="177"/>
      <c r="L157" s="177"/>
      <c r="M157" s="177"/>
      <c r="N157" s="177"/>
      <c r="O157" s="177"/>
      <c r="P157" s="177"/>
      <c r="Q157" s="177"/>
      <c r="R157" s="177"/>
      <c r="S157" s="177"/>
      <c r="T157" s="177"/>
      <c r="U157" s="177"/>
      <c r="V157" s="177"/>
      <c r="W157" s="177"/>
      <c r="X157" s="177"/>
      <c r="Y157" s="177"/>
      <c r="Z157" s="177"/>
      <c r="AA157" s="177"/>
      <c r="AB157" s="177"/>
      <c r="AC157" s="177"/>
      <c r="AD157" s="177"/>
      <c r="AE157" s="177"/>
      <c r="AF157" s="177"/>
      <c r="AG157" s="177"/>
      <c r="AH157" s="177"/>
      <c r="AI157" s="177"/>
      <c r="AJ157" s="177"/>
      <c r="AK157" s="177"/>
      <c r="AL157" s="177"/>
      <c r="AM157" s="177"/>
      <c r="AN157" s="177"/>
      <c r="AO157" s="177"/>
      <c r="AP157" s="177"/>
      <c r="AQ157" s="177"/>
      <c r="AR157" s="177"/>
      <c r="AS157" s="177"/>
      <c r="AT157" s="177"/>
      <c r="AU157" s="177"/>
      <c r="AV157" s="177"/>
      <c r="AW157" s="177"/>
      <c r="AX157" s="177"/>
      <c r="AY157" s="177"/>
      <c r="AZ157" s="177"/>
      <c r="BA157" s="177"/>
      <c r="BB157" s="177"/>
      <c r="BC157" s="177"/>
      <c r="BD157" s="177"/>
      <c r="BE157" s="177"/>
      <c r="BF157" s="177"/>
      <c r="BG157" s="177"/>
      <c r="BH157" s="177"/>
      <c r="BI157" s="177"/>
      <c r="BJ157" s="177"/>
      <c r="BK157" s="177"/>
      <c r="BL157" s="177"/>
      <c r="BM157" s="177"/>
      <c r="BN157" s="177"/>
      <c r="BO157" s="177"/>
      <c r="BP157" s="177"/>
      <c r="BQ157" s="177"/>
      <c r="BR157" s="177"/>
      <c r="BS157" s="177"/>
      <c r="BT157" s="177"/>
      <c r="BU157" s="177"/>
      <c r="BV157" s="177"/>
      <c r="BW157" s="177"/>
      <c r="BX157" s="177"/>
      <c r="BY157" s="177"/>
      <c r="BZ157" s="177"/>
      <c r="CA157" s="177"/>
      <c r="CB157" s="177"/>
      <c r="CC157" s="177"/>
      <c r="CD157" s="177"/>
      <c r="CE157" s="177"/>
      <c r="CF157" s="177"/>
      <c r="CG157" s="177"/>
      <c r="CH157" s="177"/>
      <c r="CI157" s="177"/>
      <c r="CJ157" s="177"/>
      <c r="CK157" s="177"/>
      <c r="CL157" s="177"/>
      <c r="CM157" s="177"/>
      <c r="CN157" s="177"/>
      <c r="CO157" s="177"/>
      <c r="CP157" s="177"/>
      <c r="CQ157" s="177"/>
      <c r="CR157" s="177"/>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
      <c r="DP157" s="1"/>
      <c r="DQ157" s="1"/>
      <c r="DR157" s="1"/>
      <c r="DS157" s="1"/>
      <c r="DT157" s="1"/>
      <c r="DU157" s="1"/>
      <c r="DV157" s="1"/>
      <c r="DW157" s="1"/>
      <c r="DX157" s="1"/>
      <c r="DY157" s="1"/>
      <c r="DZ157" s="1"/>
      <c r="EA157" s="1"/>
      <c r="EB157" s="1"/>
      <c r="EC157" s="1"/>
      <c r="ED157" s="1"/>
      <c r="EE157" s="1"/>
      <c r="EF157" s="1"/>
      <c r="EG157" s="1"/>
      <c r="EH157" s="1"/>
    </row>
    <row r="158" spans="1:138">
      <c r="A158" s="177"/>
      <c r="B158" s="177"/>
      <c r="C158" s="177"/>
      <c r="D158" s="177"/>
      <c r="E158" s="177"/>
      <c r="F158" s="177"/>
      <c r="G158" s="177"/>
      <c r="H158" s="177"/>
      <c r="I158" s="177"/>
      <c r="J158" s="177"/>
      <c r="K158" s="177"/>
      <c r="L158" s="177"/>
      <c r="M158" s="177"/>
      <c r="N158" s="177"/>
      <c r="O158" s="177"/>
      <c r="P158" s="177"/>
      <c r="Q158" s="177"/>
      <c r="R158" s="177"/>
      <c r="S158" s="177"/>
      <c r="T158" s="177"/>
      <c r="U158" s="177"/>
      <c r="V158" s="177"/>
      <c r="W158" s="177"/>
      <c r="X158" s="177"/>
      <c r="Y158" s="177"/>
      <c r="Z158" s="177"/>
      <c r="AA158" s="177"/>
      <c r="AB158" s="177"/>
      <c r="AC158" s="177"/>
      <c r="AD158" s="177"/>
      <c r="AE158" s="177"/>
      <c r="AF158" s="177"/>
      <c r="AG158" s="177"/>
      <c r="AH158" s="177"/>
      <c r="AI158" s="177"/>
      <c r="AJ158" s="177"/>
      <c r="AK158" s="177"/>
      <c r="AL158" s="177"/>
      <c r="AM158" s="177"/>
      <c r="AN158" s="177"/>
      <c r="AO158" s="177"/>
      <c r="AP158" s="177"/>
      <c r="AQ158" s="177"/>
      <c r="AR158" s="177"/>
      <c r="AS158" s="177"/>
      <c r="AT158" s="177"/>
      <c r="AU158" s="177"/>
      <c r="AV158" s="177"/>
      <c r="AW158" s="177"/>
      <c r="AX158" s="177"/>
      <c r="AY158" s="177"/>
      <c r="AZ158" s="177"/>
      <c r="BA158" s="177"/>
      <c r="BB158" s="177"/>
      <c r="BC158" s="177"/>
      <c r="BD158" s="177"/>
      <c r="BE158" s="177"/>
      <c r="BF158" s="177"/>
      <c r="BG158" s="177"/>
      <c r="BH158" s="177"/>
      <c r="BI158" s="177"/>
      <c r="BJ158" s="177"/>
      <c r="BK158" s="177"/>
      <c r="BL158" s="177"/>
      <c r="BM158" s="177"/>
      <c r="BN158" s="177"/>
      <c r="BO158" s="177"/>
      <c r="BP158" s="177"/>
      <c r="BQ158" s="177"/>
      <c r="BR158" s="177"/>
      <c r="BS158" s="177"/>
      <c r="BT158" s="177"/>
      <c r="BU158" s="177"/>
      <c r="BV158" s="177"/>
      <c r="BW158" s="177"/>
      <c r="BX158" s="177"/>
      <c r="BY158" s="177"/>
      <c r="BZ158" s="177"/>
      <c r="CA158" s="177"/>
      <c r="CB158" s="177"/>
      <c r="CC158" s="177"/>
      <c r="CD158" s="177"/>
      <c r="CE158" s="177"/>
      <c r="CF158" s="177"/>
      <c r="CG158" s="177"/>
      <c r="CH158" s="177"/>
      <c r="CI158" s="177"/>
      <c r="CJ158" s="177"/>
      <c r="CK158" s="177"/>
      <c r="CL158" s="177"/>
      <c r="CM158" s="177"/>
      <c r="CN158" s="177"/>
      <c r="CO158" s="177"/>
      <c r="CP158" s="177"/>
      <c r="CQ158" s="177"/>
      <c r="CR158" s="177"/>
      <c r="CS158" s="177"/>
      <c r="CT158" s="177"/>
      <c r="CU158" s="177"/>
      <c r="CV158" s="177"/>
      <c r="CW158" s="177"/>
      <c r="CX158" s="177"/>
      <c r="CY158" s="177"/>
      <c r="CZ158" s="177"/>
      <c r="DA158" s="177"/>
      <c r="DB158" s="177"/>
      <c r="DC158" s="177"/>
      <c r="DD158" s="177"/>
      <c r="DE158" s="177"/>
      <c r="DF158" s="177"/>
      <c r="DG158" s="177"/>
      <c r="DH158" s="177"/>
      <c r="DI158" s="177"/>
      <c r="DJ158" s="177"/>
      <c r="DK158" s="177"/>
      <c r="DL158" s="177"/>
      <c r="DM158" s="177"/>
      <c r="DN158" s="177"/>
      <c r="DO158" s="1"/>
      <c r="DP158" s="1"/>
      <c r="DQ158" s="1"/>
      <c r="DR158" s="1"/>
      <c r="DS158" s="1"/>
      <c r="DT158" s="1"/>
      <c r="DU158" s="1"/>
      <c r="DV158" s="1"/>
      <c r="DW158" s="1"/>
      <c r="DX158" s="1"/>
      <c r="DY158" s="1"/>
      <c r="DZ158" s="1"/>
      <c r="EA158" s="1"/>
      <c r="EB158" s="1"/>
      <c r="EC158" s="1"/>
      <c r="ED158" s="1"/>
      <c r="EE158" s="1"/>
      <c r="EF158" s="1"/>
      <c r="EG158" s="1"/>
      <c r="EH158" s="1"/>
    </row>
    <row r="159" spans="1:138">
      <c r="A159" s="177"/>
      <c r="B159" s="177"/>
      <c r="C159" s="177"/>
      <c r="D159" s="177"/>
      <c r="E159" s="177"/>
      <c r="F159" s="177"/>
      <c r="G159" s="177"/>
      <c r="H159" s="177"/>
      <c r="I159" s="177"/>
      <c r="J159" s="177"/>
      <c r="K159" s="177"/>
      <c r="L159" s="177"/>
      <c r="M159" s="177"/>
      <c r="N159" s="177"/>
      <c r="O159" s="177"/>
      <c r="P159" s="177"/>
      <c r="Q159" s="177"/>
      <c r="R159" s="177"/>
      <c r="S159" s="177"/>
      <c r="T159" s="177"/>
      <c r="U159" s="177"/>
      <c r="V159" s="177"/>
      <c r="W159" s="177"/>
      <c r="X159" s="177"/>
      <c r="Y159" s="177"/>
      <c r="Z159" s="177"/>
      <c r="AA159" s="177"/>
      <c r="AB159" s="177"/>
      <c r="AC159" s="177"/>
      <c r="AD159" s="177"/>
      <c r="AE159" s="177"/>
      <c r="AF159" s="177"/>
      <c r="AG159" s="177"/>
      <c r="AH159" s="177"/>
      <c r="AI159" s="177"/>
      <c r="AJ159" s="177"/>
      <c r="AK159" s="177"/>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177"/>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
      <c r="DP159" s="1"/>
      <c r="DQ159" s="1"/>
      <c r="DR159" s="1"/>
      <c r="DS159" s="1"/>
      <c r="DT159" s="1"/>
      <c r="DU159" s="1"/>
      <c r="DV159" s="1"/>
      <c r="DW159" s="1"/>
      <c r="DX159" s="1"/>
      <c r="DY159" s="1"/>
      <c r="DZ159" s="1"/>
      <c r="EA159" s="1"/>
      <c r="EB159" s="1"/>
      <c r="EC159" s="1"/>
      <c r="ED159" s="1"/>
      <c r="EE159" s="1"/>
      <c r="EF159" s="1"/>
      <c r="EG159" s="1"/>
      <c r="EH159" s="1"/>
    </row>
    <row r="160" spans="1:138">
      <c r="A160" s="177"/>
      <c r="B160" s="177"/>
      <c r="C160" s="177"/>
      <c r="D160" s="177"/>
      <c r="E160" s="177"/>
      <c r="F160" s="177"/>
      <c r="G160" s="177"/>
      <c r="H160" s="177"/>
      <c r="I160" s="177"/>
      <c r="J160" s="177"/>
      <c r="K160" s="177"/>
      <c r="L160" s="177"/>
      <c r="M160" s="177"/>
      <c r="N160" s="177"/>
      <c r="O160" s="177"/>
      <c r="P160" s="177"/>
      <c r="Q160" s="177"/>
      <c r="R160" s="177"/>
      <c r="S160" s="177"/>
      <c r="T160" s="177"/>
      <c r="U160" s="177"/>
      <c r="V160" s="177"/>
      <c r="W160" s="177"/>
      <c r="X160" s="177"/>
      <c r="Y160" s="177"/>
      <c r="Z160" s="177"/>
      <c r="AA160" s="177"/>
      <c r="AB160" s="177"/>
      <c r="AC160" s="177"/>
      <c r="AD160" s="177"/>
      <c r="AE160" s="177"/>
      <c r="AF160" s="177"/>
      <c r="AG160" s="177"/>
      <c r="AH160" s="177"/>
      <c r="AI160" s="177"/>
      <c r="AJ160" s="177"/>
      <c r="AK160" s="177"/>
      <c r="AL160" s="177"/>
      <c r="AM160" s="177"/>
      <c r="AN160" s="177"/>
      <c r="AO160" s="177"/>
      <c r="AP160" s="177"/>
      <c r="AQ160" s="177"/>
      <c r="AR160" s="177"/>
      <c r="AS160" s="177"/>
      <c r="AT160" s="177"/>
      <c r="AU160" s="177"/>
      <c r="AV160" s="177"/>
      <c r="AW160" s="177"/>
      <c r="AX160" s="177"/>
      <c r="AY160" s="177"/>
      <c r="AZ160" s="177"/>
      <c r="BA160" s="177"/>
      <c r="BB160" s="177"/>
      <c r="BC160" s="177"/>
      <c r="BD160" s="177"/>
      <c r="BE160" s="177"/>
      <c r="BF160" s="177"/>
      <c r="BG160" s="177"/>
      <c r="BH160" s="177"/>
      <c r="BI160" s="177"/>
      <c r="BJ160" s="177"/>
      <c r="BK160" s="177"/>
      <c r="BL160" s="177"/>
      <c r="BM160" s="177"/>
      <c r="BN160" s="177"/>
      <c r="BO160" s="177"/>
      <c r="BP160" s="177"/>
      <c r="BQ160" s="177"/>
      <c r="BR160" s="177"/>
      <c r="BS160" s="177"/>
      <c r="BT160" s="177"/>
      <c r="BU160" s="177"/>
      <c r="BV160" s="177"/>
      <c r="BW160" s="177"/>
      <c r="BX160" s="177"/>
      <c r="BY160" s="177"/>
      <c r="BZ160" s="177"/>
      <c r="CA160" s="177"/>
      <c r="CB160" s="177"/>
      <c r="CC160" s="177"/>
      <c r="CD160" s="177"/>
      <c r="CE160" s="177"/>
      <c r="CF160" s="177"/>
      <c r="CG160" s="177"/>
      <c r="CH160" s="177"/>
      <c r="CI160" s="177"/>
      <c r="CJ160" s="177"/>
      <c r="CK160" s="177"/>
      <c r="CL160" s="177"/>
      <c r="CM160" s="177"/>
      <c r="CN160" s="177"/>
      <c r="CO160" s="177"/>
      <c r="CP160" s="177"/>
      <c r="CQ160" s="177"/>
      <c r="CR160" s="177"/>
      <c r="CS160" s="177"/>
      <c r="CT160" s="177"/>
      <c r="CU160" s="177"/>
      <c r="CV160" s="177"/>
      <c r="CW160" s="177"/>
      <c r="CX160" s="177"/>
      <c r="CY160" s="177"/>
      <c r="CZ160" s="177"/>
      <c r="DA160" s="177"/>
      <c r="DB160" s="177"/>
      <c r="DC160" s="177"/>
      <c r="DD160" s="177"/>
      <c r="DE160" s="177"/>
      <c r="DF160" s="177"/>
      <c r="DG160" s="177"/>
      <c r="DH160" s="177"/>
      <c r="DI160" s="177"/>
      <c r="DJ160" s="177"/>
      <c r="DK160" s="177"/>
      <c r="DL160" s="177"/>
      <c r="DM160" s="177"/>
      <c r="DN160" s="177"/>
      <c r="DO160" s="1"/>
      <c r="DP160" s="1"/>
      <c r="DQ160" s="1"/>
      <c r="DR160" s="1"/>
      <c r="DS160" s="1"/>
      <c r="DT160" s="1"/>
      <c r="DU160" s="1"/>
      <c r="DV160" s="1"/>
      <c r="DW160" s="1"/>
      <c r="DX160" s="1"/>
      <c r="DY160" s="1"/>
      <c r="DZ160" s="1"/>
      <c r="EA160" s="1"/>
      <c r="EB160" s="1"/>
      <c r="EC160" s="1"/>
      <c r="ED160" s="1"/>
      <c r="EE160" s="1"/>
      <c r="EF160" s="1"/>
      <c r="EG160" s="1"/>
      <c r="EH160" s="1"/>
    </row>
    <row r="161" spans="1:138">
      <c r="A161" s="177"/>
      <c r="B161" s="177"/>
      <c r="C161" s="177"/>
      <c r="D161" s="177"/>
      <c r="E161" s="177"/>
      <c r="F161" s="177"/>
      <c r="G161" s="177"/>
      <c r="H161" s="177"/>
      <c r="I161" s="177"/>
      <c r="J161" s="177"/>
      <c r="K161" s="177"/>
      <c r="L161" s="177"/>
      <c r="M161" s="177"/>
      <c r="N161" s="177"/>
      <c r="O161" s="177"/>
      <c r="P161" s="177"/>
      <c r="Q161" s="177"/>
      <c r="R161" s="177"/>
      <c r="S161" s="177"/>
      <c r="T161" s="177"/>
      <c r="U161" s="177"/>
      <c r="V161" s="177"/>
      <c r="W161" s="177"/>
      <c r="X161" s="177"/>
      <c r="Y161" s="177"/>
      <c r="Z161" s="177"/>
      <c r="AA161" s="177"/>
      <c r="AB161" s="177"/>
      <c r="AC161" s="177"/>
      <c r="AD161" s="177"/>
      <c r="AE161" s="177"/>
      <c r="AF161" s="177"/>
      <c r="AG161" s="177"/>
      <c r="AH161" s="177"/>
      <c r="AI161" s="177"/>
      <c r="AJ161" s="177"/>
      <c r="AK161" s="177"/>
      <c r="AL161" s="177"/>
      <c r="AM161" s="177"/>
      <c r="AN161" s="177"/>
      <c r="AO161" s="177"/>
      <c r="AP161" s="177"/>
      <c r="AQ161" s="177"/>
      <c r="AR161" s="177"/>
      <c r="AS161" s="177"/>
      <c r="AT161" s="177"/>
      <c r="AU161" s="177"/>
      <c r="AV161" s="177"/>
      <c r="AW161" s="177"/>
      <c r="AX161" s="177"/>
      <c r="AY161" s="177"/>
      <c r="AZ161" s="177"/>
      <c r="BA161" s="177"/>
      <c r="BB161" s="177"/>
      <c r="BC161" s="177"/>
      <c r="BD161" s="177"/>
      <c r="BE161" s="177"/>
      <c r="BF161" s="177"/>
      <c r="BG161" s="177"/>
      <c r="BH161" s="177"/>
      <c r="BI161" s="177"/>
      <c r="BJ161" s="177"/>
      <c r="BK161" s="177"/>
      <c r="BL161" s="177"/>
      <c r="BM161" s="177"/>
      <c r="BN161" s="177"/>
      <c r="BO161" s="177"/>
      <c r="BP161" s="177"/>
      <c r="BQ161" s="177"/>
      <c r="BR161" s="177"/>
      <c r="BS161" s="177"/>
      <c r="BT161" s="177"/>
      <c r="BU161" s="177"/>
      <c r="BV161" s="177"/>
      <c r="BW161" s="177"/>
      <c r="BX161" s="177"/>
      <c r="BY161" s="177"/>
      <c r="BZ161" s="177"/>
      <c r="CA161" s="177"/>
      <c r="CB161" s="177"/>
      <c r="CC161" s="177"/>
      <c r="CD161" s="177"/>
      <c r="CE161" s="177"/>
      <c r="CF161" s="177"/>
      <c r="CG161" s="177"/>
      <c r="CH161" s="177"/>
      <c r="CI161" s="177"/>
      <c r="CJ161" s="177"/>
      <c r="CK161" s="177"/>
      <c r="CL161" s="177"/>
      <c r="CM161" s="177"/>
      <c r="CN161" s="177"/>
      <c r="CO161" s="177"/>
      <c r="CP161" s="177"/>
      <c r="CQ161" s="177"/>
      <c r="CR161" s="177"/>
      <c r="CS161" s="177"/>
      <c r="CT161" s="177"/>
      <c r="CU161" s="177"/>
      <c r="CV161" s="177"/>
      <c r="CW161" s="177"/>
      <c r="CX161" s="177"/>
      <c r="CY161" s="177"/>
      <c r="CZ161" s="177"/>
      <c r="DA161" s="177"/>
      <c r="DB161" s="177"/>
      <c r="DC161" s="177"/>
      <c r="DD161" s="177"/>
      <c r="DE161" s="177"/>
      <c r="DF161" s="177"/>
      <c r="DG161" s="177"/>
      <c r="DH161" s="177"/>
      <c r="DI161" s="177"/>
      <c r="DJ161" s="177"/>
      <c r="DK161" s="177"/>
      <c r="DL161" s="177"/>
      <c r="DM161" s="177"/>
      <c r="DN161" s="177"/>
      <c r="DO161" s="1"/>
      <c r="DP161" s="1"/>
      <c r="DQ161" s="1"/>
      <c r="DR161" s="1"/>
      <c r="DS161" s="1"/>
      <c r="DT161" s="1"/>
      <c r="DU161" s="1"/>
      <c r="DV161" s="1"/>
      <c r="DW161" s="1"/>
      <c r="DX161" s="1"/>
      <c r="DY161" s="1"/>
      <c r="DZ161" s="1"/>
      <c r="EA161" s="1"/>
      <c r="EB161" s="1"/>
      <c r="EC161" s="1"/>
      <c r="ED161" s="1"/>
      <c r="EE161" s="1"/>
      <c r="EF161" s="1"/>
      <c r="EG161" s="1"/>
      <c r="EH161" s="1"/>
    </row>
    <row r="162" spans="1:138">
      <c r="A162" s="177"/>
      <c r="B162" s="177"/>
      <c r="C162" s="177"/>
      <c r="D162" s="177"/>
      <c r="E162" s="177"/>
      <c r="F162" s="177"/>
      <c r="G162" s="177"/>
      <c r="H162" s="177"/>
      <c r="I162" s="177"/>
      <c r="J162" s="177"/>
      <c r="K162" s="177"/>
      <c r="L162" s="177"/>
      <c r="M162" s="177"/>
      <c r="N162" s="177"/>
      <c r="O162" s="177"/>
      <c r="P162" s="177"/>
      <c r="Q162" s="177"/>
      <c r="R162" s="177"/>
      <c r="S162" s="177"/>
      <c r="T162" s="177"/>
      <c r="U162" s="177"/>
      <c r="V162" s="177"/>
      <c r="W162" s="177"/>
      <c r="X162" s="177"/>
      <c r="Y162" s="177"/>
      <c r="Z162" s="177"/>
      <c r="AA162" s="177"/>
      <c r="AB162" s="177"/>
      <c r="AC162" s="177"/>
      <c r="AD162" s="177"/>
      <c r="AE162" s="177"/>
      <c r="AF162" s="177"/>
      <c r="AG162" s="177"/>
      <c r="AH162" s="177"/>
      <c r="AI162" s="177"/>
      <c r="AJ162" s="177"/>
      <c r="AK162" s="177"/>
      <c r="AL162" s="177"/>
      <c r="AM162" s="177"/>
      <c r="AN162" s="177"/>
      <c r="AO162" s="177"/>
      <c r="AP162" s="177"/>
      <c r="AQ162" s="177"/>
      <c r="AR162" s="177"/>
      <c r="AS162" s="177"/>
      <c r="AT162" s="177"/>
      <c r="AU162" s="177"/>
      <c r="AV162" s="177"/>
      <c r="AW162" s="177"/>
      <c r="AX162" s="177"/>
      <c r="AY162" s="177"/>
      <c r="AZ162" s="177"/>
      <c r="BA162" s="177"/>
      <c r="BB162" s="177"/>
      <c r="BC162" s="177"/>
      <c r="BD162" s="177"/>
      <c r="BE162" s="177"/>
      <c r="BF162" s="177"/>
      <c r="BG162" s="177"/>
      <c r="BH162" s="177"/>
      <c r="BI162" s="177"/>
      <c r="BJ162" s="177"/>
      <c r="BK162" s="177"/>
      <c r="BL162" s="177"/>
      <c r="BM162" s="177"/>
      <c r="BN162" s="177"/>
      <c r="BO162" s="177"/>
      <c r="BP162" s="177"/>
      <c r="BQ162" s="177"/>
      <c r="BR162" s="177"/>
      <c r="BS162" s="177"/>
      <c r="BT162" s="177"/>
      <c r="BU162" s="177"/>
      <c r="BV162" s="177"/>
      <c r="BW162" s="177"/>
      <c r="BX162" s="177"/>
      <c r="BY162" s="177"/>
      <c r="BZ162" s="177"/>
      <c r="CA162" s="177"/>
      <c r="CB162" s="177"/>
      <c r="CC162" s="177"/>
      <c r="CD162" s="177"/>
      <c r="CE162" s="177"/>
      <c r="CF162" s="177"/>
      <c r="CG162" s="177"/>
      <c r="CH162" s="177"/>
      <c r="CI162" s="177"/>
      <c r="CJ162" s="177"/>
      <c r="CK162" s="177"/>
      <c r="CL162" s="177"/>
      <c r="CM162" s="177"/>
      <c r="CN162" s="177"/>
      <c r="CO162" s="177"/>
      <c r="CP162" s="177"/>
      <c r="CQ162" s="177"/>
      <c r="CR162" s="177"/>
      <c r="CS162" s="177"/>
      <c r="CT162" s="177"/>
      <c r="CU162" s="177"/>
      <c r="CV162" s="177"/>
      <c r="CW162" s="177"/>
      <c r="CX162" s="177"/>
      <c r="CY162" s="177"/>
      <c r="CZ162" s="177"/>
      <c r="DA162" s="177"/>
      <c r="DB162" s="177"/>
      <c r="DC162" s="177"/>
      <c r="DD162" s="177"/>
      <c r="DE162" s="177"/>
      <c r="DF162" s="177"/>
      <c r="DG162" s="177"/>
      <c r="DH162" s="177"/>
      <c r="DI162" s="177"/>
      <c r="DJ162" s="177"/>
      <c r="DK162" s="177"/>
      <c r="DL162" s="177"/>
      <c r="DM162" s="177"/>
      <c r="DN162" s="177"/>
      <c r="DO162" s="1"/>
      <c r="DP162" s="1"/>
      <c r="DQ162" s="1"/>
      <c r="DR162" s="1"/>
      <c r="DS162" s="1"/>
      <c r="DT162" s="1"/>
      <c r="DU162" s="1"/>
      <c r="DV162" s="1"/>
      <c r="DW162" s="1"/>
      <c r="DX162" s="1"/>
      <c r="DY162" s="1"/>
      <c r="DZ162" s="1"/>
      <c r="EA162" s="1"/>
      <c r="EB162" s="1"/>
      <c r="EC162" s="1"/>
      <c r="ED162" s="1"/>
      <c r="EE162" s="1"/>
      <c r="EF162" s="1"/>
      <c r="EG162" s="1"/>
      <c r="EH162" s="1"/>
    </row>
    <row r="163" spans="1:138">
      <c r="A163" s="177"/>
      <c r="B163" s="177"/>
      <c r="C163" s="177"/>
      <c r="D163" s="177"/>
      <c r="E163" s="177"/>
      <c r="F163" s="177"/>
      <c r="G163" s="177"/>
      <c r="H163" s="177"/>
      <c r="I163" s="177"/>
      <c r="J163" s="177"/>
      <c r="K163" s="177"/>
      <c r="L163" s="177"/>
      <c r="M163" s="177"/>
      <c r="N163" s="177"/>
      <c r="O163" s="177"/>
      <c r="P163" s="177"/>
      <c r="Q163" s="177"/>
      <c r="R163" s="177"/>
      <c r="S163" s="177"/>
      <c r="T163" s="177"/>
      <c r="U163" s="177"/>
      <c r="V163" s="177"/>
      <c r="W163" s="177"/>
      <c r="X163" s="177"/>
      <c r="Y163" s="177"/>
      <c r="Z163" s="177"/>
      <c r="AA163" s="177"/>
      <c r="AB163" s="177"/>
      <c r="AC163" s="177"/>
      <c r="AD163" s="177"/>
      <c r="AE163" s="177"/>
      <c r="AF163" s="177"/>
      <c r="AG163" s="177"/>
      <c r="AH163" s="177"/>
      <c r="AI163" s="177"/>
      <c r="AJ163" s="177"/>
      <c r="AK163" s="177"/>
      <c r="AL163" s="177"/>
      <c r="AM163" s="177"/>
      <c r="AN163" s="177"/>
      <c r="AO163" s="177"/>
      <c r="AP163" s="177"/>
      <c r="AQ163" s="177"/>
      <c r="AR163" s="177"/>
      <c r="AS163" s="177"/>
      <c r="AT163" s="177"/>
      <c r="AU163" s="177"/>
      <c r="AV163" s="177"/>
      <c r="AW163" s="177"/>
      <c r="AX163" s="177"/>
      <c r="AY163" s="177"/>
      <c r="AZ163" s="177"/>
      <c r="BA163" s="177"/>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7"/>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
      <c r="DP163" s="1"/>
      <c r="DQ163" s="1"/>
      <c r="DR163" s="1"/>
      <c r="DS163" s="1"/>
      <c r="DT163" s="1"/>
      <c r="DU163" s="1"/>
      <c r="DV163" s="1"/>
      <c r="DW163" s="1"/>
      <c r="DX163" s="1"/>
      <c r="DY163" s="1"/>
      <c r="DZ163" s="1"/>
      <c r="EA163" s="1"/>
      <c r="EB163" s="1"/>
      <c r="EC163" s="1"/>
      <c r="ED163" s="1"/>
      <c r="EE163" s="1"/>
      <c r="EF163" s="1"/>
      <c r="EG163" s="1"/>
      <c r="EH163" s="1"/>
    </row>
    <row r="164" spans="1:138">
      <c r="A164" s="177"/>
      <c r="B164" s="177"/>
      <c r="C164" s="177"/>
      <c r="D164" s="177"/>
      <c r="E164" s="177"/>
      <c r="F164" s="177"/>
      <c r="G164" s="177"/>
      <c r="H164" s="177"/>
      <c r="I164" s="177"/>
      <c r="J164" s="177"/>
      <c r="K164" s="177"/>
      <c r="L164" s="177"/>
      <c r="M164" s="177"/>
      <c r="N164" s="177"/>
      <c r="O164" s="177"/>
      <c r="P164" s="177"/>
      <c r="Q164" s="177"/>
      <c r="R164" s="177"/>
      <c r="S164" s="177"/>
      <c r="T164" s="177"/>
      <c r="U164" s="177"/>
      <c r="V164" s="177"/>
      <c r="W164" s="177"/>
      <c r="X164" s="177"/>
      <c r="Y164" s="177"/>
      <c r="Z164" s="177"/>
      <c r="AA164" s="177"/>
      <c r="AB164" s="177"/>
      <c r="AC164" s="177"/>
      <c r="AD164" s="177"/>
      <c r="AE164" s="177"/>
      <c r="AF164" s="177"/>
      <c r="AG164" s="177"/>
      <c r="AH164" s="177"/>
      <c r="AI164" s="177"/>
      <c r="AJ164" s="177"/>
      <c r="AK164" s="177"/>
      <c r="AL164" s="177"/>
      <c r="AM164" s="177"/>
      <c r="AN164" s="177"/>
      <c r="AO164" s="177"/>
      <c r="AP164" s="177"/>
      <c r="AQ164" s="177"/>
      <c r="AR164" s="177"/>
      <c r="AS164" s="177"/>
      <c r="AT164" s="177"/>
      <c r="AU164" s="177"/>
      <c r="AV164" s="177"/>
      <c r="AW164" s="177"/>
      <c r="AX164" s="177"/>
      <c r="AY164" s="177"/>
      <c r="AZ164" s="177"/>
      <c r="BA164" s="177"/>
      <c r="BB164" s="177"/>
      <c r="BC164" s="177"/>
      <c r="BD164" s="177"/>
      <c r="BE164" s="177"/>
      <c r="BF164" s="177"/>
      <c r="BG164" s="177"/>
      <c r="BH164" s="177"/>
      <c r="BI164" s="177"/>
      <c r="BJ164" s="177"/>
      <c r="BK164" s="177"/>
      <c r="BL164" s="177"/>
      <c r="BM164" s="177"/>
      <c r="BN164" s="177"/>
      <c r="BO164" s="177"/>
      <c r="BP164" s="177"/>
      <c r="BQ164" s="177"/>
      <c r="BR164" s="177"/>
      <c r="BS164" s="177"/>
      <c r="BT164" s="177"/>
      <c r="BU164" s="177"/>
      <c r="BV164" s="177"/>
      <c r="BW164" s="177"/>
      <c r="BX164" s="177"/>
      <c r="BY164" s="177"/>
      <c r="BZ164" s="177"/>
      <c r="CA164" s="177"/>
      <c r="CB164" s="177"/>
      <c r="CC164" s="177"/>
      <c r="CD164" s="177"/>
      <c r="CE164" s="177"/>
      <c r="CF164" s="177"/>
      <c r="CG164" s="177"/>
      <c r="CH164" s="177"/>
      <c r="CI164" s="177"/>
      <c r="CJ164" s="177"/>
      <c r="CK164" s="177"/>
      <c r="CL164" s="177"/>
      <c r="CM164" s="177"/>
      <c r="CN164" s="177"/>
      <c r="CO164" s="177"/>
      <c r="CP164" s="177"/>
      <c r="CQ164" s="177"/>
      <c r="CR164" s="177"/>
      <c r="CS164" s="177"/>
      <c r="CT164" s="177"/>
      <c r="CU164" s="177"/>
      <c r="CV164" s="177"/>
      <c r="CW164" s="177"/>
      <c r="CX164" s="177"/>
      <c r="CY164" s="177"/>
      <c r="CZ164" s="177"/>
      <c r="DA164" s="177"/>
      <c r="DB164" s="177"/>
      <c r="DC164" s="177"/>
      <c r="DD164" s="177"/>
      <c r="DE164" s="177"/>
      <c r="DF164" s="177"/>
      <c r="DG164" s="177"/>
      <c r="DH164" s="177"/>
      <c r="DI164" s="177"/>
      <c r="DJ164" s="177"/>
      <c r="DK164" s="177"/>
      <c r="DL164" s="177"/>
      <c r="DM164" s="177"/>
      <c r="DN164" s="177"/>
      <c r="DO164" s="1"/>
      <c r="DP164" s="1"/>
      <c r="DQ164" s="1"/>
      <c r="DR164" s="1"/>
      <c r="DS164" s="1"/>
      <c r="DT164" s="1"/>
      <c r="DU164" s="1"/>
      <c r="DV164" s="1"/>
      <c r="DW164" s="1"/>
      <c r="DX164" s="1"/>
      <c r="DY164" s="1"/>
      <c r="DZ164" s="1"/>
      <c r="EA164" s="1"/>
      <c r="EB164" s="1"/>
      <c r="EC164" s="1"/>
      <c r="ED164" s="1"/>
      <c r="EE164" s="1"/>
      <c r="EF164" s="1"/>
      <c r="EG164" s="1"/>
      <c r="EH164" s="1"/>
    </row>
    <row r="165" spans="1:138">
      <c r="A165" s="177"/>
      <c r="B165" s="177"/>
      <c r="C165" s="177"/>
      <c r="D165" s="177"/>
      <c r="E165" s="177"/>
      <c r="F165" s="177"/>
      <c r="G165" s="177"/>
      <c r="H165" s="177"/>
      <c r="I165" s="177"/>
      <c r="J165" s="177"/>
      <c r="K165" s="177"/>
      <c r="L165" s="177"/>
      <c r="M165" s="177"/>
      <c r="N165" s="177"/>
      <c r="O165" s="177"/>
      <c r="P165" s="177"/>
      <c r="Q165" s="177"/>
      <c r="R165" s="177"/>
      <c r="S165" s="177"/>
      <c r="T165" s="177"/>
      <c r="U165" s="177"/>
      <c r="V165" s="177"/>
      <c r="W165" s="177"/>
      <c r="X165" s="177"/>
      <c r="Y165" s="177"/>
      <c r="Z165" s="177"/>
      <c r="AA165" s="177"/>
      <c r="AB165" s="177"/>
      <c r="AC165" s="177"/>
      <c r="AD165" s="177"/>
      <c r="AE165" s="177"/>
      <c r="AF165" s="177"/>
      <c r="AG165" s="177"/>
      <c r="AH165" s="177"/>
      <c r="AI165" s="177"/>
      <c r="AJ165" s="177"/>
      <c r="AK165" s="177"/>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7"/>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
      <c r="DP165" s="1"/>
      <c r="DQ165" s="1"/>
      <c r="DR165" s="1"/>
      <c r="DS165" s="1"/>
      <c r="DT165" s="1"/>
      <c r="DU165" s="1"/>
      <c r="DV165" s="1"/>
      <c r="DW165" s="1"/>
      <c r="DX165" s="1"/>
      <c r="DY165" s="1"/>
      <c r="DZ165" s="1"/>
      <c r="EA165" s="1"/>
      <c r="EB165" s="1"/>
      <c r="EC165" s="1"/>
      <c r="ED165" s="1"/>
      <c r="EE165" s="1"/>
      <c r="EF165" s="1"/>
      <c r="EG165" s="1"/>
      <c r="EH165" s="1"/>
    </row>
    <row r="166" spans="1:138">
      <c r="A166" s="177"/>
      <c r="B166" s="177"/>
      <c r="C166" s="177"/>
      <c r="D166" s="177"/>
      <c r="E166" s="177"/>
      <c r="F166" s="177"/>
      <c r="G166" s="177"/>
      <c r="H166" s="177"/>
      <c r="I166" s="177"/>
      <c r="J166" s="177"/>
      <c r="K166" s="177"/>
      <c r="L166" s="177"/>
      <c r="M166" s="177"/>
      <c r="N166" s="177"/>
      <c r="O166" s="177"/>
      <c r="P166" s="177"/>
      <c r="Q166" s="177"/>
      <c r="R166" s="177"/>
      <c r="S166" s="177"/>
      <c r="T166" s="177"/>
      <c r="U166" s="177"/>
      <c r="V166" s="177"/>
      <c r="W166" s="177"/>
      <c r="X166" s="177"/>
      <c r="Y166" s="177"/>
      <c r="Z166" s="177"/>
      <c r="AA166" s="177"/>
      <c r="AB166" s="177"/>
      <c r="AC166" s="177"/>
      <c r="AD166" s="177"/>
      <c r="AE166" s="177"/>
      <c r="AF166" s="177"/>
      <c r="AG166" s="177"/>
      <c r="AH166" s="177"/>
      <c r="AI166" s="177"/>
      <c r="AJ166" s="177"/>
      <c r="AK166" s="177"/>
      <c r="AL166" s="177"/>
      <c r="AM166" s="177"/>
      <c r="AN166" s="177"/>
      <c r="AO166" s="177"/>
      <c r="AP166" s="177"/>
      <c r="AQ166" s="177"/>
      <c r="AR166" s="177"/>
      <c r="AS166" s="177"/>
      <c r="AT166" s="177"/>
      <c r="AU166" s="177"/>
      <c r="AV166" s="177"/>
      <c r="AW166" s="177"/>
      <c r="AX166" s="177"/>
      <c r="AY166" s="177"/>
      <c r="AZ166" s="177"/>
      <c r="BA166" s="177"/>
      <c r="BB166" s="177"/>
      <c r="BC166" s="177"/>
      <c r="BD166" s="177"/>
      <c r="BE166" s="177"/>
      <c r="BF166" s="177"/>
      <c r="BG166" s="177"/>
      <c r="BH166" s="177"/>
      <c r="BI166" s="177"/>
      <c r="BJ166" s="177"/>
      <c r="BK166" s="177"/>
      <c r="BL166" s="177"/>
      <c r="BM166" s="177"/>
      <c r="BN166" s="177"/>
      <c r="BO166" s="177"/>
      <c r="BP166" s="177"/>
      <c r="BQ166" s="177"/>
      <c r="BR166" s="177"/>
      <c r="BS166" s="177"/>
      <c r="BT166" s="177"/>
      <c r="BU166" s="177"/>
      <c r="BV166" s="177"/>
      <c r="BW166" s="177"/>
      <c r="BX166" s="177"/>
      <c r="BY166" s="177"/>
      <c r="BZ166" s="177"/>
      <c r="CA166" s="177"/>
      <c r="CB166" s="177"/>
      <c r="CC166" s="177"/>
      <c r="CD166" s="177"/>
      <c r="CE166" s="177"/>
      <c r="CF166" s="177"/>
      <c r="CG166" s="177"/>
      <c r="CH166" s="177"/>
      <c r="CI166" s="177"/>
      <c r="CJ166" s="177"/>
      <c r="CK166" s="177"/>
      <c r="CL166" s="177"/>
      <c r="CM166" s="177"/>
      <c r="CN166" s="177"/>
      <c r="CO166" s="177"/>
      <c r="CP166" s="177"/>
      <c r="CQ166" s="177"/>
      <c r="CR166" s="177"/>
      <c r="CS166" s="177"/>
      <c r="CT166" s="177"/>
      <c r="CU166" s="177"/>
      <c r="CV166" s="177"/>
      <c r="CW166" s="177"/>
      <c r="CX166" s="177"/>
      <c r="CY166" s="177"/>
      <c r="CZ166" s="177"/>
      <c r="DA166" s="177"/>
      <c r="DB166" s="177"/>
      <c r="DC166" s="177"/>
      <c r="DD166" s="177"/>
      <c r="DE166" s="177"/>
      <c r="DF166" s="177"/>
      <c r="DG166" s="177"/>
      <c r="DH166" s="177"/>
      <c r="DI166" s="177"/>
      <c r="DJ166" s="177"/>
      <c r="DK166" s="177"/>
      <c r="DL166" s="177"/>
      <c r="DM166" s="177"/>
      <c r="DN166" s="177"/>
      <c r="DO166" s="1"/>
      <c r="DP166" s="1"/>
      <c r="DQ166" s="1"/>
      <c r="DR166" s="1"/>
      <c r="DS166" s="1"/>
      <c r="DT166" s="1"/>
      <c r="DU166" s="1"/>
      <c r="DV166" s="1"/>
      <c r="DW166" s="1"/>
      <c r="DX166" s="1"/>
      <c r="DY166" s="1"/>
      <c r="DZ166" s="1"/>
      <c r="EA166" s="1"/>
      <c r="EB166" s="1"/>
      <c r="EC166" s="1"/>
      <c r="ED166" s="1"/>
      <c r="EE166" s="1"/>
      <c r="EF166" s="1"/>
      <c r="EG166" s="1"/>
      <c r="EH166" s="1"/>
    </row>
    <row r="167" spans="1:138">
      <c r="A167" s="177"/>
      <c r="B167" s="177"/>
      <c r="C167" s="177"/>
      <c r="D167" s="177"/>
      <c r="E167" s="177"/>
      <c r="F167" s="177"/>
      <c r="G167" s="177"/>
      <c r="H167" s="177"/>
      <c r="I167" s="177"/>
      <c r="J167" s="177"/>
      <c r="K167" s="177"/>
      <c r="L167" s="177"/>
      <c r="M167" s="177"/>
      <c r="N167" s="177"/>
      <c r="O167" s="177"/>
      <c r="P167" s="177"/>
      <c r="Q167" s="177"/>
      <c r="R167" s="177"/>
      <c r="S167" s="177"/>
      <c r="T167" s="177"/>
      <c r="U167" s="177"/>
      <c r="V167" s="177"/>
      <c r="W167" s="177"/>
      <c r="X167" s="177"/>
      <c r="Y167" s="177"/>
      <c r="Z167" s="177"/>
      <c r="AA167" s="177"/>
      <c r="AB167" s="177"/>
      <c r="AC167" s="177"/>
      <c r="AD167" s="177"/>
      <c r="AE167" s="177"/>
      <c r="AF167" s="177"/>
      <c r="AG167" s="177"/>
      <c r="AH167" s="177"/>
      <c r="AI167" s="177"/>
      <c r="AJ167" s="177"/>
      <c r="AK167" s="177"/>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7"/>
      <c r="CT167" s="177"/>
      <c r="CU167" s="177"/>
      <c r="CV167" s="177"/>
      <c r="CW167" s="177"/>
      <c r="CX167" s="177"/>
      <c r="CY167" s="177"/>
      <c r="CZ167" s="177"/>
      <c r="DA167" s="177"/>
      <c r="DB167" s="177"/>
      <c r="DC167" s="177"/>
      <c r="DD167" s="177"/>
      <c r="DE167" s="177"/>
      <c r="DF167" s="177"/>
      <c r="DG167" s="177"/>
      <c r="DH167" s="177"/>
      <c r="DI167" s="177"/>
      <c r="DJ167" s="177"/>
      <c r="DK167" s="177"/>
      <c r="DL167" s="177"/>
      <c r="DM167" s="177"/>
      <c r="DN167" s="177"/>
      <c r="DO167" s="1"/>
      <c r="DP167" s="1"/>
      <c r="DQ167" s="1"/>
      <c r="DR167" s="1"/>
      <c r="DS167" s="1"/>
      <c r="DT167" s="1"/>
      <c r="DU167" s="1"/>
      <c r="DV167" s="1"/>
      <c r="DW167" s="1"/>
      <c r="DX167" s="1"/>
      <c r="DY167" s="1"/>
      <c r="DZ167" s="1"/>
      <c r="EA167" s="1"/>
      <c r="EB167" s="1"/>
      <c r="EC167" s="1"/>
      <c r="ED167" s="1"/>
      <c r="EE167" s="1"/>
      <c r="EF167" s="1"/>
      <c r="EG167" s="1"/>
      <c r="EH167" s="1"/>
    </row>
    <row r="168" spans="1:138">
      <c r="A168" s="177"/>
      <c r="B168" s="177"/>
      <c r="C168" s="177"/>
      <c r="D168" s="177"/>
      <c r="E168" s="177"/>
      <c r="F168" s="177"/>
      <c r="G168" s="177"/>
      <c r="H168" s="177"/>
      <c r="I168" s="177"/>
      <c r="J168" s="177"/>
      <c r="K168" s="177"/>
      <c r="L168" s="177"/>
      <c r="M168" s="177"/>
      <c r="N168" s="177"/>
      <c r="O168" s="177"/>
      <c r="P168" s="177"/>
      <c r="Q168" s="177"/>
      <c r="R168" s="177"/>
      <c r="S168" s="177"/>
      <c r="T168" s="177"/>
      <c r="U168" s="177"/>
      <c r="V168" s="177"/>
      <c r="W168" s="177"/>
      <c r="X168" s="177"/>
      <c r="Y168" s="177"/>
      <c r="Z168" s="177"/>
      <c r="AA168" s="177"/>
      <c r="AB168" s="177"/>
      <c r="AC168" s="177"/>
      <c r="AD168" s="177"/>
      <c r="AE168" s="177"/>
      <c r="AF168" s="177"/>
      <c r="AG168" s="177"/>
      <c r="AH168" s="177"/>
      <c r="AI168" s="177"/>
      <c r="AJ168" s="177"/>
      <c r="AK168" s="177"/>
      <c r="AL168" s="177"/>
      <c r="AM168" s="177"/>
      <c r="AN168" s="177"/>
      <c r="AO168" s="177"/>
      <c r="AP168" s="177"/>
      <c r="AQ168" s="177"/>
      <c r="AR168" s="177"/>
      <c r="AS168" s="177"/>
      <c r="AT168" s="177"/>
      <c r="AU168" s="177"/>
      <c r="AV168" s="177"/>
      <c r="AW168" s="177"/>
      <c r="AX168" s="177"/>
      <c r="AY168" s="177"/>
      <c r="AZ168" s="177"/>
      <c r="BA168" s="177"/>
      <c r="BB168" s="177"/>
      <c r="BC168" s="177"/>
      <c r="BD168" s="177"/>
      <c r="BE168" s="177"/>
      <c r="BF168" s="177"/>
      <c r="BG168" s="177"/>
      <c r="BH168" s="177"/>
      <c r="BI168" s="177"/>
      <c r="BJ168" s="177"/>
      <c r="BK168" s="177"/>
      <c r="BL168" s="177"/>
      <c r="BM168" s="177"/>
      <c r="BN168" s="177"/>
      <c r="BO168" s="177"/>
      <c r="BP168" s="177"/>
      <c r="BQ168" s="177"/>
      <c r="BR168" s="177"/>
      <c r="BS168" s="177"/>
      <c r="BT168" s="177"/>
      <c r="BU168" s="177"/>
      <c r="BV168" s="177"/>
      <c r="BW168" s="177"/>
      <c r="BX168" s="177"/>
      <c r="BY168" s="177"/>
      <c r="BZ168" s="177"/>
      <c r="CA168" s="177"/>
      <c r="CB168" s="177"/>
      <c r="CC168" s="177"/>
      <c r="CD168" s="177"/>
      <c r="CE168" s="177"/>
      <c r="CF168" s="177"/>
      <c r="CG168" s="177"/>
      <c r="CH168" s="177"/>
      <c r="CI168" s="177"/>
      <c r="CJ168" s="177"/>
      <c r="CK168" s="177"/>
      <c r="CL168" s="177"/>
      <c r="CM168" s="177"/>
      <c r="CN168" s="177"/>
      <c r="CO168" s="177"/>
      <c r="CP168" s="177"/>
      <c r="CQ168" s="177"/>
      <c r="CR168" s="177"/>
      <c r="CS168" s="177"/>
      <c r="CT168" s="177"/>
      <c r="CU168" s="177"/>
      <c r="CV168" s="177"/>
      <c r="CW168" s="177"/>
      <c r="CX168" s="177"/>
      <c r="CY168" s="177"/>
      <c r="CZ168" s="177"/>
      <c r="DA168" s="177"/>
      <c r="DB168" s="177"/>
      <c r="DC168" s="177"/>
      <c r="DD168" s="177"/>
      <c r="DE168" s="177"/>
      <c r="DF168" s="177"/>
      <c r="DG168" s="177"/>
      <c r="DH168" s="177"/>
      <c r="DI168" s="177"/>
      <c r="DJ168" s="177"/>
      <c r="DK168" s="177"/>
      <c r="DL168" s="177"/>
      <c r="DM168" s="177"/>
      <c r="DN168" s="177"/>
      <c r="DO168" s="1"/>
      <c r="DP168" s="1"/>
      <c r="DQ168" s="1"/>
      <c r="DR168" s="1"/>
      <c r="DS168" s="1"/>
      <c r="DT168" s="1"/>
      <c r="DU168" s="1"/>
      <c r="DV168" s="1"/>
      <c r="DW168" s="1"/>
      <c r="DX168" s="1"/>
      <c r="DY168" s="1"/>
      <c r="DZ168" s="1"/>
      <c r="EA168" s="1"/>
      <c r="EB168" s="1"/>
      <c r="EC168" s="1"/>
      <c r="ED168" s="1"/>
      <c r="EE168" s="1"/>
      <c r="EF168" s="1"/>
      <c r="EG168" s="1"/>
      <c r="EH168" s="1"/>
    </row>
    <row r="169" spans="1:138">
      <c r="A169" s="177"/>
      <c r="B169" s="177"/>
      <c r="C169" s="177"/>
      <c r="D169" s="177"/>
      <c r="E169" s="177"/>
      <c r="F169" s="177"/>
      <c r="G169" s="177"/>
      <c r="H169" s="177"/>
      <c r="I169" s="177"/>
      <c r="J169" s="177"/>
      <c r="K169" s="177"/>
      <c r="L169" s="177"/>
      <c r="M169" s="177"/>
      <c r="N169" s="177"/>
      <c r="O169" s="177"/>
      <c r="P169" s="177"/>
      <c r="Q169" s="177"/>
      <c r="R169" s="177"/>
      <c r="S169" s="177"/>
      <c r="T169" s="177"/>
      <c r="U169" s="177"/>
      <c r="V169" s="177"/>
      <c r="W169" s="177"/>
      <c r="X169" s="177"/>
      <c r="Y169" s="177"/>
      <c r="Z169" s="177"/>
      <c r="AA169" s="177"/>
      <c r="AB169" s="177"/>
      <c r="AC169" s="177"/>
      <c r="AD169" s="177"/>
      <c r="AE169" s="177"/>
      <c r="AF169" s="177"/>
      <c r="AG169" s="177"/>
      <c r="AH169" s="177"/>
      <c r="AI169" s="177"/>
      <c r="AJ169" s="177"/>
      <c r="AK169" s="177"/>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
      <c r="DP169" s="1"/>
      <c r="DQ169" s="1"/>
      <c r="DR169" s="1"/>
      <c r="DS169" s="1"/>
      <c r="DT169" s="1"/>
      <c r="DU169" s="1"/>
      <c r="DV169" s="1"/>
      <c r="DW169" s="1"/>
      <c r="DX169" s="1"/>
      <c r="DY169" s="1"/>
      <c r="DZ169" s="1"/>
      <c r="EA169" s="1"/>
      <c r="EB169" s="1"/>
      <c r="EC169" s="1"/>
      <c r="ED169" s="1"/>
      <c r="EE169" s="1"/>
      <c r="EF169" s="1"/>
      <c r="EG169" s="1"/>
      <c r="EH169" s="1"/>
    </row>
    <row r="170" spans="1:138">
      <c r="A170" s="177"/>
      <c r="B170" s="177"/>
      <c r="C170" s="177"/>
      <c r="D170" s="177"/>
      <c r="E170" s="177"/>
      <c r="F170" s="177"/>
      <c r="G170" s="177"/>
      <c r="H170" s="177"/>
      <c r="I170" s="177"/>
      <c r="J170" s="177"/>
      <c r="K170" s="177"/>
      <c r="L170" s="177"/>
      <c r="M170" s="177"/>
      <c r="N170" s="177"/>
      <c r="O170" s="177"/>
      <c r="P170" s="177"/>
      <c r="Q170" s="177"/>
      <c r="R170" s="177"/>
      <c r="S170" s="177"/>
      <c r="T170" s="177"/>
      <c r="U170" s="177"/>
      <c r="V170" s="177"/>
      <c r="W170" s="177"/>
      <c r="X170" s="177"/>
      <c r="Y170" s="177"/>
      <c r="Z170" s="177"/>
      <c r="AA170" s="177"/>
      <c r="AB170" s="177"/>
      <c r="AC170" s="177"/>
      <c r="AD170" s="177"/>
      <c r="AE170" s="177"/>
      <c r="AF170" s="177"/>
      <c r="AG170" s="177"/>
      <c r="AH170" s="177"/>
      <c r="AI170" s="177"/>
      <c r="AJ170" s="177"/>
      <c r="AK170" s="177"/>
      <c r="AL170" s="177"/>
      <c r="AM170" s="177"/>
      <c r="AN170" s="177"/>
      <c r="AO170" s="177"/>
      <c r="AP170" s="177"/>
      <c r="AQ170" s="177"/>
      <c r="AR170" s="177"/>
      <c r="AS170" s="177"/>
      <c r="AT170" s="177"/>
      <c r="AU170" s="177"/>
      <c r="AV170" s="177"/>
      <c r="AW170" s="177"/>
      <c r="AX170" s="177"/>
      <c r="AY170" s="177"/>
      <c r="AZ170" s="177"/>
      <c r="BA170" s="177"/>
      <c r="BB170" s="177"/>
      <c r="BC170" s="177"/>
      <c r="BD170" s="177"/>
      <c r="BE170" s="177"/>
      <c r="BF170" s="177"/>
      <c r="BG170" s="177"/>
      <c r="BH170" s="177"/>
      <c r="BI170" s="177"/>
      <c r="BJ170" s="177"/>
      <c r="BK170" s="177"/>
      <c r="BL170" s="177"/>
      <c r="BM170" s="177"/>
      <c r="BN170" s="177"/>
      <c r="BO170" s="177"/>
      <c r="BP170" s="177"/>
      <c r="BQ170" s="177"/>
      <c r="BR170" s="177"/>
      <c r="BS170" s="177"/>
      <c r="BT170" s="177"/>
      <c r="BU170" s="177"/>
      <c r="BV170" s="177"/>
      <c r="BW170" s="177"/>
      <c r="BX170" s="177"/>
      <c r="BY170" s="177"/>
      <c r="BZ170" s="177"/>
      <c r="CA170" s="177"/>
      <c r="CB170" s="177"/>
      <c r="CC170" s="177"/>
      <c r="CD170" s="177"/>
      <c r="CE170" s="177"/>
      <c r="CF170" s="177"/>
      <c r="CG170" s="177"/>
      <c r="CH170" s="177"/>
      <c r="CI170" s="177"/>
      <c r="CJ170" s="177"/>
      <c r="CK170" s="177"/>
      <c r="CL170" s="177"/>
      <c r="CM170" s="177"/>
      <c r="CN170" s="177"/>
      <c r="CO170" s="177"/>
      <c r="CP170" s="177"/>
      <c r="CQ170" s="177"/>
      <c r="CR170" s="177"/>
      <c r="CS170" s="177"/>
      <c r="CT170" s="177"/>
      <c r="CU170" s="177"/>
      <c r="CV170" s="177"/>
      <c r="CW170" s="177"/>
      <c r="CX170" s="177"/>
      <c r="CY170" s="177"/>
      <c r="CZ170" s="177"/>
      <c r="DA170" s="177"/>
      <c r="DB170" s="177"/>
      <c r="DC170" s="177"/>
      <c r="DD170" s="177"/>
      <c r="DE170" s="177"/>
      <c r="DF170" s="177"/>
      <c r="DG170" s="177"/>
      <c r="DH170" s="177"/>
      <c r="DI170" s="177"/>
      <c r="DJ170" s="177"/>
      <c r="DK170" s="177"/>
      <c r="DL170" s="177"/>
      <c r="DM170" s="177"/>
      <c r="DN170" s="177"/>
      <c r="DO170" s="1"/>
      <c r="DP170" s="1"/>
      <c r="DQ170" s="1"/>
      <c r="DR170" s="1"/>
      <c r="DS170" s="1"/>
      <c r="DT170" s="1"/>
      <c r="DU170" s="1"/>
      <c r="DV170" s="1"/>
      <c r="DW170" s="1"/>
      <c r="DX170" s="1"/>
      <c r="DY170" s="1"/>
      <c r="DZ170" s="1"/>
      <c r="EA170" s="1"/>
      <c r="EB170" s="1"/>
      <c r="EC170" s="1"/>
      <c r="ED170" s="1"/>
      <c r="EE170" s="1"/>
      <c r="EF170" s="1"/>
      <c r="EG170" s="1"/>
      <c r="EH170" s="1"/>
    </row>
    <row r="171" spans="1:138">
      <c r="A171" s="177"/>
      <c r="B171" s="177"/>
      <c r="C171" s="177"/>
      <c r="D171" s="177"/>
      <c r="E171" s="177"/>
      <c r="F171" s="177"/>
      <c r="G171" s="177"/>
      <c r="H171" s="177"/>
      <c r="I171" s="177"/>
      <c r="J171" s="177"/>
      <c r="K171" s="177"/>
      <c r="L171" s="177"/>
      <c r="M171" s="177"/>
      <c r="N171" s="177"/>
      <c r="O171" s="177"/>
      <c r="P171" s="177"/>
      <c r="Q171" s="177"/>
      <c r="R171" s="177"/>
      <c r="S171" s="177"/>
      <c r="T171" s="177"/>
      <c r="U171" s="177"/>
      <c r="V171" s="177"/>
      <c r="W171" s="177"/>
      <c r="X171" s="177"/>
      <c r="Y171" s="177"/>
      <c r="Z171" s="177"/>
      <c r="AA171" s="177"/>
      <c r="AB171" s="177"/>
      <c r="AC171" s="177"/>
      <c r="AD171" s="177"/>
      <c r="AE171" s="177"/>
      <c r="AF171" s="177"/>
      <c r="AG171" s="177"/>
      <c r="AH171" s="177"/>
      <c r="AI171" s="177"/>
      <c r="AJ171" s="177"/>
      <c r="AK171" s="177"/>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
      <c r="DP171" s="1"/>
      <c r="DQ171" s="1"/>
      <c r="DR171" s="1"/>
      <c r="DS171" s="1"/>
      <c r="DT171" s="1"/>
      <c r="DU171" s="1"/>
      <c r="DV171" s="1"/>
      <c r="DW171" s="1"/>
      <c r="DX171" s="1"/>
      <c r="DY171" s="1"/>
      <c r="DZ171" s="1"/>
      <c r="EA171" s="1"/>
      <c r="EB171" s="1"/>
      <c r="EC171" s="1"/>
      <c r="ED171" s="1"/>
      <c r="EE171" s="1"/>
      <c r="EF171" s="1"/>
      <c r="EG171" s="1"/>
      <c r="EH171" s="1"/>
    </row>
    <row r="172" spans="1:138">
      <c r="A172" s="177"/>
      <c r="B172" s="177"/>
      <c r="C172" s="177"/>
      <c r="D172" s="177"/>
      <c r="E172" s="177"/>
      <c r="F172" s="177"/>
      <c r="G172" s="177"/>
      <c r="H172" s="177"/>
      <c r="I172" s="177"/>
      <c r="J172" s="177"/>
      <c r="K172" s="177"/>
      <c r="L172" s="177"/>
      <c r="M172" s="177"/>
      <c r="N172" s="177"/>
      <c r="O172" s="177"/>
      <c r="P172" s="177"/>
      <c r="Q172" s="177"/>
      <c r="R172" s="177"/>
      <c r="S172" s="177"/>
      <c r="T172" s="177"/>
      <c r="U172" s="177"/>
      <c r="V172" s="177"/>
      <c r="W172" s="177"/>
      <c r="X172" s="177"/>
      <c r="Y172" s="177"/>
      <c r="Z172" s="177"/>
      <c r="AA172" s="177"/>
      <c r="AB172" s="177"/>
      <c r="AC172" s="177"/>
      <c r="AD172" s="177"/>
      <c r="AE172" s="177"/>
      <c r="AF172" s="177"/>
      <c r="AG172" s="177"/>
      <c r="AH172" s="177"/>
      <c r="AI172" s="177"/>
      <c r="AJ172" s="177"/>
      <c r="AK172" s="177"/>
      <c r="AL172" s="177"/>
      <c r="AM172" s="177"/>
      <c r="AN172" s="177"/>
      <c r="AO172" s="177"/>
      <c r="AP172" s="177"/>
      <c r="AQ172" s="177"/>
      <c r="AR172" s="177"/>
      <c r="AS172" s="177"/>
      <c r="AT172" s="177"/>
      <c r="AU172" s="177"/>
      <c r="AV172" s="177"/>
      <c r="AW172" s="177"/>
      <c r="AX172" s="177"/>
      <c r="AY172" s="177"/>
      <c r="AZ172" s="177"/>
      <c r="BA172" s="177"/>
      <c r="BB172" s="177"/>
      <c r="BC172" s="177"/>
      <c r="BD172" s="177"/>
      <c r="BE172" s="177"/>
      <c r="BF172" s="177"/>
      <c r="BG172" s="177"/>
      <c r="BH172" s="177"/>
      <c r="BI172" s="177"/>
      <c r="BJ172" s="177"/>
      <c r="BK172" s="177"/>
      <c r="BL172" s="177"/>
      <c r="BM172" s="177"/>
      <c r="BN172" s="177"/>
      <c r="BO172" s="177"/>
      <c r="BP172" s="177"/>
      <c r="BQ172" s="177"/>
      <c r="BR172" s="177"/>
      <c r="BS172" s="177"/>
      <c r="BT172" s="177"/>
      <c r="BU172" s="177"/>
      <c r="BV172" s="177"/>
      <c r="BW172" s="177"/>
      <c r="BX172" s="177"/>
      <c r="BY172" s="177"/>
      <c r="BZ172" s="177"/>
      <c r="CA172" s="177"/>
      <c r="CB172" s="177"/>
      <c r="CC172" s="177"/>
      <c r="CD172" s="177"/>
      <c r="CE172" s="177"/>
      <c r="CF172" s="177"/>
      <c r="CG172" s="177"/>
      <c r="CH172" s="177"/>
      <c r="CI172" s="177"/>
      <c r="CJ172" s="177"/>
      <c r="CK172" s="177"/>
      <c r="CL172" s="177"/>
      <c r="CM172" s="177"/>
      <c r="CN172" s="177"/>
      <c r="CO172" s="177"/>
      <c r="CP172" s="177"/>
      <c r="CQ172" s="177"/>
      <c r="CR172" s="177"/>
      <c r="CS172" s="177"/>
      <c r="CT172" s="177"/>
      <c r="CU172" s="177"/>
      <c r="CV172" s="177"/>
      <c r="CW172" s="177"/>
      <c r="CX172" s="177"/>
      <c r="CY172" s="177"/>
      <c r="CZ172" s="177"/>
      <c r="DA172" s="177"/>
      <c r="DB172" s="177"/>
      <c r="DC172" s="177"/>
      <c r="DD172" s="177"/>
      <c r="DE172" s="177"/>
      <c r="DF172" s="177"/>
      <c r="DG172" s="177"/>
      <c r="DH172" s="177"/>
      <c r="DI172" s="177"/>
      <c r="DJ172" s="177"/>
      <c r="DK172" s="177"/>
      <c r="DL172" s="177"/>
      <c r="DM172" s="177"/>
      <c r="DN172" s="177"/>
      <c r="DO172" s="1"/>
      <c r="DP172" s="1"/>
      <c r="DQ172" s="1"/>
      <c r="DR172" s="1"/>
      <c r="DS172" s="1"/>
      <c r="DT172" s="1"/>
      <c r="DU172" s="1"/>
      <c r="DV172" s="1"/>
      <c r="DW172" s="1"/>
      <c r="DX172" s="1"/>
      <c r="DY172" s="1"/>
      <c r="DZ172" s="1"/>
      <c r="EA172" s="1"/>
      <c r="EB172" s="1"/>
      <c r="EC172" s="1"/>
      <c r="ED172" s="1"/>
      <c r="EE172" s="1"/>
      <c r="EF172" s="1"/>
      <c r="EG172" s="1"/>
      <c r="EH172" s="1"/>
    </row>
    <row r="173" spans="1:138">
      <c r="A173" s="177"/>
      <c r="B173" s="177"/>
      <c r="C173" s="177"/>
      <c r="D173" s="177"/>
      <c r="E173" s="177"/>
      <c r="F173" s="177"/>
      <c r="G173" s="177"/>
      <c r="H173" s="177"/>
      <c r="I173" s="177"/>
      <c r="J173" s="177"/>
      <c r="K173" s="177"/>
      <c r="L173" s="177"/>
      <c r="M173" s="177"/>
      <c r="N173" s="177"/>
      <c r="O173" s="177"/>
      <c r="P173" s="177"/>
      <c r="Q173" s="177"/>
      <c r="R173" s="177"/>
      <c r="S173" s="177"/>
      <c r="T173" s="177"/>
      <c r="U173" s="177"/>
      <c r="V173" s="177"/>
      <c r="W173" s="177"/>
      <c r="X173" s="177"/>
      <c r="Y173" s="177"/>
      <c r="Z173" s="177"/>
      <c r="AA173" s="177"/>
      <c r="AB173" s="177"/>
      <c r="AC173" s="177"/>
      <c r="AD173" s="177"/>
      <c r="AE173" s="177"/>
      <c r="AF173" s="177"/>
      <c r="AG173" s="177"/>
      <c r="AH173" s="177"/>
      <c r="AI173" s="177"/>
      <c r="AJ173" s="177"/>
      <c r="AK173" s="177"/>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
      <c r="DP173" s="1"/>
      <c r="DQ173" s="1"/>
      <c r="DR173" s="1"/>
      <c r="DS173" s="1"/>
      <c r="DT173" s="1"/>
      <c r="DU173" s="1"/>
      <c r="DV173" s="1"/>
      <c r="DW173" s="1"/>
      <c r="DX173" s="1"/>
      <c r="DY173" s="1"/>
      <c r="DZ173" s="1"/>
      <c r="EA173" s="1"/>
      <c r="EB173" s="1"/>
      <c r="EC173" s="1"/>
      <c r="ED173" s="1"/>
      <c r="EE173" s="1"/>
      <c r="EF173" s="1"/>
      <c r="EG173" s="1"/>
      <c r="EH173" s="1"/>
    </row>
    <row r="174" spans="1:138">
      <c r="A174" s="178"/>
      <c r="B174" s="177"/>
      <c r="C174" s="177"/>
      <c r="D174" s="177"/>
      <c r="E174" s="177"/>
      <c r="F174" s="177"/>
      <c r="G174" s="177"/>
      <c r="H174" s="177"/>
      <c r="I174" s="177"/>
      <c r="J174" s="178"/>
      <c r="K174" s="178"/>
      <c r="L174" s="177"/>
      <c r="M174" s="177"/>
      <c r="N174" s="177"/>
      <c r="O174" s="177"/>
      <c r="P174" s="177"/>
      <c r="Q174" s="177"/>
      <c r="R174" s="177"/>
      <c r="S174" s="177"/>
      <c r="T174" s="177"/>
      <c r="U174" s="178"/>
      <c r="V174" s="177"/>
      <c r="W174" s="177"/>
      <c r="X174" s="177"/>
      <c r="Y174" s="177"/>
      <c r="Z174" s="177"/>
      <c r="AA174" s="177"/>
      <c r="AB174" s="177"/>
      <c r="AC174" s="177"/>
      <c r="AD174" s="177"/>
      <c r="AE174" s="177"/>
      <c r="AF174" s="178"/>
      <c r="AG174" s="177"/>
      <c r="AH174" s="177"/>
      <c r="AI174" s="177"/>
      <c r="AJ174" s="177"/>
      <c r="AK174" s="177"/>
      <c r="AL174" s="177"/>
      <c r="AM174" s="177"/>
      <c r="AN174" s="177"/>
      <c r="AO174" s="177"/>
      <c r="AP174" s="177"/>
      <c r="AQ174" s="177"/>
      <c r="AR174" s="177"/>
      <c r="AS174" s="177"/>
      <c r="AT174" s="177"/>
      <c r="AU174" s="177"/>
      <c r="AV174" s="177"/>
      <c r="AW174" s="177"/>
      <c r="AX174" s="177"/>
      <c r="AY174" s="177"/>
      <c r="AZ174" s="177"/>
      <c r="BA174" s="177"/>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c r="CS174" s="178"/>
      <c r="CT174" s="178"/>
      <c r="CU174" s="178"/>
      <c r="CV174" s="178"/>
      <c r="CW174" s="178"/>
      <c r="CX174" s="178"/>
      <c r="CY174" s="178"/>
      <c r="CZ174" s="178"/>
      <c r="DA174" s="178"/>
      <c r="DB174" s="178"/>
      <c r="DC174" s="178"/>
      <c r="DD174" s="178"/>
      <c r="DE174" s="178"/>
      <c r="DF174" s="178"/>
      <c r="DG174" s="178"/>
      <c r="DH174" s="178"/>
      <c r="DI174" s="178"/>
      <c r="DJ174" s="178"/>
      <c r="DK174" s="178"/>
      <c r="DL174" s="178"/>
      <c r="DM174" s="178"/>
      <c r="DN174" s="178"/>
    </row>
    <row r="175" spans="1:138">
      <c r="A175" s="178"/>
      <c r="B175" s="178"/>
      <c r="C175" s="178"/>
      <c r="D175" s="178"/>
      <c r="E175" s="178"/>
      <c r="F175" s="178"/>
      <c r="G175" s="178"/>
      <c r="H175" s="178"/>
      <c r="I175" s="17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c r="CS175" s="178"/>
      <c r="CT175" s="178"/>
      <c r="CU175" s="178"/>
      <c r="CV175" s="178"/>
      <c r="CW175" s="178"/>
      <c r="CX175" s="178"/>
      <c r="CY175" s="178"/>
      <c r="CZ175" s="178"/>
      <c r="DA175" s="178"/>
      <c r="DB175" s="178"/>
      <c r="DC175" s="178"/>
      <c r="DD175" s="178"/>
      <c r="DE175" s="178"/>
      <c r="DF175" s="178"/>
      <c r="DG175" s="178"/>
      <c r="DH175" s="178"/>
      <c r="DI175" s="178"/>
      <c r="DJ175" s="178"/>
      <c r="DK175" s="178"/>
      <c r="DL175" s="178"/>
      <c r="DM175" s="178"/>
      <c r="DN175" s="178"/>
    </row>
    <row r="176" spans="1:138">
      <c r="A176" s="178"/>
      <c r="B176" s="178"/>
      <c r="C176" s="178"/>
      <c r="D176" s="178"/>
      <c r="E176" s="178"/>
      <c r="F176" s="178"/>
      <c r="G176" s="178"/>
      <c r="H176" s="178"/>
      <c r="I176" s="17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c r="CS176" s="178"/>
      <c r="CT176" s="178"/>
      <c r="CU176" s="178"/>
      <c r="CV176" s="178"/>
      <c r="CW176" s="178"/>
      <c r="CX176" s="178"/>
      <c r="CY176" s="178"/>
      <c r="CZ176" s="178"/>
      <c r="DA176" s="178"/>
      <c r="DB176" s="178"/>
      <c r="DC176" s="178"/>
      <c r="DD176" s="178"/>
      <c r="DE176" s="178"/>
      <c r="DF176" s="178"/>
      <c r="DG176" s="178"/>
      <c r="DH176" s="178"/>
      <c r="DI176" s="178"/>
      <c r="DJ176" s="178"/>
      <c r="DK176" s="178"/>
      <c r="DL176" s="178"/>
      <c r="DM176" s="178"/>
      <c r="DN176" s="178"/>
    </row>
    <row r="177" spans="1:118">
      <c r="A177" s="178"/>
      <c r="B177" s="178"/>
      <c r="C177" s="178"/>
      <c r="D177" s="178"/>
      <c r="E177" s="178"/>
      <c r="F177" s="178"/>
      <c r="G177" s="178"/>
      <c r="H177" s="178"/>
      <c r="I177" s="17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c r="CS177" s="178"/>
      <c r="CT177" s="178"/>
      <c r="CU177" s="178"/>
      <c r="CV177" s="178"/>
      <c r="CW177" s="178"/>
      <c r="CX177" s="178"/>
      <c r="CY177" s="178"/>
      <c r="CZ177" s="178"/>
      <c r="DA177" s="178"/>
      <c r="DB177" s="178"/>
      <c r="DC177" s="178"/>
      <c r="DD177" s="178"/>
      <c r="DE177" s="178"/>
      <c r="DF177" s="178"/>
      <c r="DG177" s="178"/>
      <c r="DH177" s="178"/>
      <c r="DI177" s="178"/>
      <c r="DJ177" s="178"/>
      <c r="DK177" s="178"/>
      <c r="DL177" s="178"/>
      <c r="DM177" s="178"/>
      <c r="DN177" s="178"/>
    </row>
    <row r="178" spans="1:118">
      <c r="A178" s="178"/>
      <c r="B178" s="178"/>
      <c r="C178" s="178"/>
      <c r="D178" s="178"/>
      <c r="E178" s="178"/>
      <c r="F178" s="178"/>
      <c r="G178" s="178"/>
      <c r="H178" s="178"/>
      <c r="I178" s="17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c r="CS178" s="178"/>
      <c r="CT178" s="178"/>
      <c r="CU178" s="178"/>
      <c r="CV178" s="178"/>
      <c r="CW178" s="178"/>
      <c r="CX178" s="178"/>
      <c r="CY178" s="178"/>
      <c r="CZ178" s="178"/>
      <c r="DA178" s="178"/>
      <c r="DB178" s="178"/>
      <c r="DC178" s="178"/>
      <c r="DD178" s="178"/>
      <c r="DE178" s="178"/>
      <c r="DF178" s="178"/>
      <c r="DG178" s="178"/>
      <c r="DH178" s="178"/>
      <c r="DI178" s="178"/>
      <c r="DJ178" s="178"/>
      <c r="DK178" s="178"/>
      <c r="DL178" s="178"/>
      <c r="DM178" s="178"/>
      <c r="DN178" s="178"/>
    </row>
    <row r="179" spans="1:118">
      <c r="A179" s="178"/>
      <c r="B179" s="178"/>
      <c r="C179" s="178"/>
      <c r="D179" s="178"/>
      <c r="E179" s="178"/>
      <c r="F179" s="178"/>
      <c r="G179" s="178"/>
      <c r="H179" s="178"/>
      <c r="I179" s="17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c r="CS179" s="178"/>
      <c r="CT179" s="178"/>
      <c r="CU179" s="178"/>
      <c r="CV179" s="178"/>
      <c r="CW179" s="178"/>
      <c r="CX179" s="178"/>
      <c r="CY179" s="178"/>
      <c r="CZ179" s="178"/>
      <c r="DA179" s="178"/>
      <c r="DB179" s="178"/>
      <c r="DC179" s="178"/>
      <c r="DD179" s="178"/>
      <c r="DE179" s="178"/>
      <c r="DF179" s="178"/>
      <c r="DG179" s="178"/>
      <c r="DH179" s="178"/>
      <c r="DI179" s="178"/>
      <c r="DJ179" s="178"/>
      <c r="DK179" s="178"/>
      <c r="DL179" s="178"/>
      <c r="DM179" s="178"/>
      <c r="DN179" s="178"/>
    </row>
    <row r="180" spans="1:118">
      <c r="A180" s="178"/>
      <c r="B180" s="178"/>
      <c r="C180" s="178"/>
      <c r="D180" s="178"/>
      <c r="E180" s="178"/>
      <c r="F180" s="178"/>
      <c r="G180" s="178"/>
      <c r="H180" s="178"/>
      <c r="I180" s="17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c r="CS180" s="178"/>
      <c r="CT180" s="178"/>
      <c r="CU180" s="178"/>
      <c r="CV180" s="178"/>
      <c r="CW180" s="178"/>
      <c r="CX180" s="178"/>
      <c r="CY180" s="178"/>
      <c r="CZ180" s="178"/>
      <c r="DA180" s="178"/>
      <c r="DB180" s="178"/>
      <c r="DC180" s="178"/>
      <c r="DD180" s="178"/>
      <c r="DE180" s="178"/>
      <c r="DF180" s="178"/>
      <c r="DG180" s="178"/>
      <c r="DH180" s="178"/>
      <c r="DI180" s="178"/>
      <c r="DJ180" s="178"/>
      <c r="DK180" s="178"/>
      <c r="DL180" s="178"/>
      <c r="DM180" s="178"/>
      <c r="DN180" s="178"/>
    </row>
    <row r="181" spans="1:118">
      <c r="A181" s="178"/>
      <c r="B181" s="178"/>
      <c r="C181" s="178"/>
      <c r="D181" s="178"/>
      <c r="E181" s="178"/>
      <c r="F181" s="178"/>
      <c r="G181" s="178"/>
      <c r="H181" s="178"/>
      <c r="I181" s="17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c r="CS181" s="178"/>
      <c r="CT181" s="178"/>
      <c r="CU181" s="178"/>
      <c r="CV181" s="178"/>
      <c r="CW181" s="178"/>
      <c r="CX181" s="178"/>
      <c r="CY181" s="178"/>
      <c r="CZ181" s="178"/>
      <c r="DA181" s="178"/>
      <c r="DB181" s="178"/>
      <c r="DC181" s="178"/>
      <c r="DD181" s="178"/>
      <c r="DE181" s="178"/>
      <c r="DF181" s="178"/>
      <c r="DG181" s="178"/>
      <c r="DH181" s="178"/>
      <c r="DI181" s="178"/>
      <c r="DJ181" s="178"/>
      <c r="DK181" s="178"/>
      <c r="DL181" s="178"/>
      <c r="DM181" s="178"/>
      <c r="DN181" s="178"/>
    </row>
    <row r="182" spans="1:118">
      <c r="A182" s="178"/>
      <c r="B182" s="178"/>
      <c r="C182" s="178"/>
      <c r="D182" s="178"/>
      <c r="E182" s="178"/>
      <c r="F182" s="178"/>
      <c r="G182" s="178"/>
      <c r="H182" s="178"/>
      <c r="I182" s="17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c r="CS182" s="178"/>
      <c r="CT182" s="178"/>
      <c r="CU182" s="178"/>
      <c r="CV182" s="178"/>
      <c r="CW182" s="178"/>
      <c r="CX182" s="178"/>
      <c r="CY182" s="178"/>
      <c r="CZ182" s="178"/>
      <c r="DA182" s="178"/>
      <c r="DB182" s="178"/>
      <c r="DC182" s="178"/>
      <c r="DD182" s="178"/>
      <c r="DE182" s="178"/>
      <c r="DF182" s="178"/>
      <c r="DG182" s="178"/>
      <c r="DH182" s="178"/>
      <c r="DI182" s="178"/>
      <c r="DJ182" s="178"/>
      <c r="DK182" s="178"/>
      <c r="DL182" s="178"/>
      <c r="DM182" s="178"/>
      <c r="DN182" s="178"/>
    </row>
    <row r="183" spans="1:118">
      <c r="A183" s="178"/>
      <c r="B183" s="178"/>
      <c r="C183" s="178"/>
      <c r="D183" s="178"/>
      <c r="E183" s="178"/>
      <c r="F183" s="178"/>
      <c r="G183" s="178"/>
      <c r="H183" s="178"/>
      <c r="I183" s="17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c r="CS183" s="178"/>
      <c r="CT183" s="178"/>
      <c r="CU183" s="178"/>
      <c r="CV183" s="178"/>
      <c r="CW183" s="178"/>
      <c r="CX183" s="178"/>
      <c r="CY183" s="178"/>
      <c r="CZ183" s="178"/>
      <c r="DA183" s="178"/>
      <c r="DB183" s="178"/>
      <c r="DC183" s="178"/>
      <c r="DD183" s="178"/>
      <c r="DE183" s="178"/>
      <c r="DF183" s="178"/>
      <c r="DG183" s="178"/>
      <c r="DH183" s="178"/>
      <c r="DI183" s="178"/>
      <c r="DJ183" s="178"/>
      <c r="DK183" s="178"/>
      <c r="DL183" s="178"/>
      <c r="DM183" s="178"/>
      <c r="DN183" s="178"/>
    </row>
    <row r="184" spans="1:118">
      <c r="A184" s="178"/>
      <c r="B184" s="178"/>
      <c r="C184" s="178"/>
      <c r="D184" s="178"/>
      <c r="E184" s="178"/>
      <c r="F184" s="178"/>
      <c r="G184" s="178"/>
      <c r="H184" s="178"/>
      <c r="I184" s="17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c r="CS184" s="178"/>
      <c r="CT184" s="178"/>
      <c r="CU184" s="178"/>
      <c r="CV184" s="178"/>
      <c r="CW184" s="178"/>
      <c r="CX184" s="178"/>
      <c r="CY184" s="178"/>
      <c r="CZ184" s="178"/>
      <c r="DA184" s="178"/>
      <c r="DB184" s="178"/>
      <c r="DC184" s="178"/>
      <c r="DD184" s="178"/>
      <c r="DE184" s="178"/>
      <c r="DF184" s="178"/>
      <c r="DG184" s="178"/>
      <c r="DH184" s="178"/>
      <c r="DI184" s="178"/>
      <c r="DJ184" s="178"/>
      <c r="DK184" s="178"/>
      <c r="DL184" s="178"/>
      <c r="DM184" s="178"/>
      <c r="DN184" s="178"/>
    </row>
    <row r="185" spans="1:118">
      <c r="A185" s="178"/>
      <c r="B185" s="178"/>
      <c r="C185" s="178"/>
      <c r="D185" s="178"/>
      <c r="E185" s="178"/>
      <c r="F185" s="178"/>
      <c r="G185" s="178"/>
      <c r="H185" s="178"/>
      <c r="I185" s="17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c r="CS185" s="178"/>
      <c r="CT185" s="178"/>
      <c r="CU185" s="178"/>
      <c r="CV185" s="178"/>
      <c r="CW185" s="178"/>
      <c r="CX185" s="178"/>
      <c r="CY185" s="178"/>
      <c r="CZ185" s="178"/>
      <c r="DA185" s="178"/>
      <c r="DB185" s="178"/>
      <c r="DC185" s="178"/>
      <c r="DD185" s="178"/>
      <c r="DE185" s="178"/>
      <c r="DF185" s="178"/>
      <c r="DG185" s="178"/>
      <c r="DH185" s="178"/>
      <c r="DI185" s="178"/>
      <c r="DJ185" s="178"/>
      <c r="DK185" s="178"/>
      <c r="DL185" s="178"/>
      <c r="DM185" s="178"/>
      <c r="DN185" s="178"/>
    </row>
    <row r="186" spans="1:118">
      <c r="A186" s="178"/>
      <c r="B186" s="178"/>
      <c r="C186" s="178"/>
      <c r="D186" s="178"/>
      <c r="E186" s="178"/>
      <c r="F186" s="178"/>
      <c r="G186" s="178"/>
      <c r="H186" s="178"/>
      <c r="I186" s="17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c r="CS186" s="178"/>
      <c r="CT186" s="178"/>
      <c r="CU186" s="178"/>
      <c r="CV186" s="178"/>
      <c r="CW186" s="178"/>
      <c r="CX186" s="178"/>
      <c r="CY186" s="178"/>
      <c r="CZ186" s="178"/>
      <c r="DA186" s="178"/>
      <c r="DB186" s="178"/>
      <c r="DC186" s="178"/>
      <c r="DD186" s="178"/>
      <c r="DE186" s="178"/>
      <c r="DF186" s="178"/>
      <c r="DG186" s="178"/>
      <c r="DH186" s="178"/>
      <c r="DI186" s="178"/>
      <c r="DJ186" s="178"/>
      <c r="DK186" s="178"/>
      <c r="DL186" s="178"/>
      <c r="DM186" s="178"/>
      <c r="DN186" s="178"/>
    </row>
    <row r="187" spans="1:118">
      <c r="A187" s="178"/>
      <c r="B187" s="178"/>
      <c r="C187" s="178"/>
      <c r="D187" s="178"/>
      <c r="E187" s="178"/>
      <c r="F187" s="178"/>
      <c r="G187" s="178"/>
      <c r="H187" s="178"/>
      <c r="I187" s="17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c r="CS187" s="178"/>
      <c r="CT187" s="178"/>
      <c r="CU187" s="178"/>
      <c r="CV187" s="178"/>
      <c r="CW187" s="178"/>
      <c r="CX187" s="178"/>
      <c r="CY187" s="178"/>
      <c r="CZ187" s="178"/>
      <c r="DA187" s="178"/>
      <c r="DB187" s="178"/>
      <c r="DC187" s="178"/>
      <c r="DD187" s="178"/>
      <c r="DE187" s="178"/>
      <c r="DF187" s="178"/>
      <c r="DG187" s="178"/>
      <c r="DH187" s="178"/>
      <c r="DI187" s="178"/>
      <c r="DJ187" s="178"/>
      <c r="DK187" s="178"/>
      <c r="DL187" s="178"/>
      <c r="DM187" s="178"/>
      <c r="DN187" s="178"/>
    </row>
    <row r="188" spans="1:118">
      <c r="A188" s="178"/>
      <c r="B188" s="178"/>
      <c r="C188" s="178"/>
      <c r="D188" s="178"/>
      <c r="E188" s="178"/>
      <c r="F188" s="178"/>
      <c r="G188" s="178"/>
      <c r="H188" s="178"/>
      <c r="I188" s="17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c r="CS188" s="178"/>
      <c r="CT188" s="178"/>
      <c r="CU188" s="178"/>
      <c r="CV188" s="178"/>
      <c r="CW188" s="178"/>
      <c r="CX188" s="178"/>
      <c r="CY188" s="178"/>
      <c r="CZ188" s="178"/>
      <c r="DA188" s="178"/>
      <c r="DB188" s="178"/>
      <c r="DC188" s="178"/>
      <c r="DD188" s="178"/>
      <c r="DE188" s="178"/>
      <c r="DF188" s="178"/>
      <c r="DG188" s="178"/>
      <c r="DH188" s="178"/>
      <c r="DI188" s="178"/>
      <c r="DJ188" s="178"/>
      <c r="DK188" s="178"/>
      <c r="DL188" s="178"/>
      <c r="DM188" s="178"/>
      <c r="DN188" s="178"/>
    </row>
    <row r="189" spans="1:118">
      <c r="A189" s="178"/>
      <c r="B189" s="178"/>
      <c r="C189" s="178"/>
      <c r="D189" s="178"/>
      <c r="E189" s="178"/>
      <c r="F189" s="178"/>
      <c r="G189" s="178"/>
      <c r="H189" s="178"/>
      <c r="I189" s="17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c r="CS189" s="178"/>
      <c r="CT189" s="178"/>
      <c r="CU189" s="178"/>
      <c r="CV189" s="178"/>
      <c r="CW189" s="178"/>
      <c r="CX189" s="178"/>
      <c r="CY189" s="178"/>
      <c r="CZ189" s="178"/>
      <c r="DA189" s="178"/>
      <c r="DB189" s="178"/>
      <c r="DC189" s="178"/>
      <c r="DD189" s="178"/>
      <c r="DE189" s="178"/>
      <c r="DF189" s="178"/>
      <c r="DG189" s="178"/>
      <c r="DH189" s="178"/>
      <c r="DI189" s="178"/>
      <c r="DJ189" s="178"/>
      <c r="DK189" s="178"/>
      <c r="DL189" s="178"/>
      <c r="DM189" s="178"/>
      <c r="DN189" s="178"/>
    </row>
    <row r="190" spans="1:118">
      <c r="A190" s="178"/>
      <c r="B190" s="178"/>
      <c r="C190" s="178"/>
      <c r="D190" s="178"/>
      <c r="E190" s="178"/>
      <c r="F190" s="178"/>
      <c r="G190" s="178"/>
      <c r="H190" s="178"/>
      <c r="I190" s="17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c r="CS190" s="178"/>
      <c r="CT190" s="178"/>
      <c r="CU190" s="178"/>
      <c r="CV190" s="178"/>
      <c r="CW190" s="178"/>
      <c r="CX190" s="178"/>
      <c r="CY190" s="178"/>
      <c r="CZ190" s="178"/>
      <c r="DA190" s="178"/>
      <c r="DB190" s="178"/>
      <c r="DC190" s="178"/>
      <c r="DD190" s="178"/>
      <c r="DE190" s="178"/>
      <c r="DF190" s="178"/>
      <c r="DG190" s="178"/>
      <c r="DH190" s="178"/>
      <c r="DI190" s="178"/>
      <c r="DJ190" s="178"/>
      <c r="DK190" s="178"/>
      <c r="DL190" s="178"/>
      <c r="DM190" s="178"/>
      <c r="DN190" s="178"/>
    </row>
    <row r="191" spans="1:118">
      <c r="A191" s="178"/>
      <c r="B191" s="178"/>
      <c r="C191" s="178"/>
      <c r="D191" s="178"/>
      <c r="E191" s="178"/>
      <c r="F191" s="178"/>
      <c r="G191" s="178"/>
      <c r="H191" s="178"/>
      <c r="I191" s="17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c r="CS191" s="178"/>
      <c r="CT191" s="178"/>
      <c r="CU191" s="178"/>
      <c r="CV191" s="178"/>
      <c r="CW191" s="178"/>
      <c r="CX191" s="178"/>
      <c r="CY191" s="178"/>
      <c r="CZ191" s="178"/>
      <c r="DA191" s="178"/>
      <c r="DB191" s="178"/>
      <c r="DC191" s="178"/>
      <c r="DD191" s="178"/>
      <c r="DE191" s="178"/>
      <c r="DF191" s="178"/>
      <c r="DG191" s="178"/>
      <c r="DH191" s="178"/>
      <c r="DI191" s="178"/>
      <c r="DJ191" s="178"/>
      <c r="DK191" s="178"/>
      <c r="DL191" s="178"/>
      <c r="DM191" s="178"/>
      <c r="DN191" s="178"/>
    </row>
    <row r="192" spans="1:118">
      <c r="A192" s="178"/>
      <c r="B192" s="178"/>
      <c r="C192" s="178"/>
      <c r="D192" s="178"/>
      <c r="E192" s="178"/>
      <c r="F192" s="178"/>
      <c r="G192" s="178"/>
      <c r="H192" s="178"/>
      <c r="I192" s="17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c r="CS192" s="178"/>
      <c r="CT192" s="178"/>
      <c r="CU192" s="178"/>
      <c r="CV192" s="178"/>
      <c r="CW192" s="178"/>
      <c r="CX192" s="178"/>
      <c r="CY192" s="178"/>
      <c r="CZ192" s="178"/>
      <c r="DA192" s="178"/>
      <c r="DB192" s="178"/>
      <c r="DC192" s="178"/>
      <c r="DD192" s="178"/>
      <c r="DE192" s="178"/>
      <c r="DF192" s="178"/>
      <c r="DG192" s="178"/>
      <c r="DH192" s="178"/>
      <c r="DI192" s="178"/>
      <c r="DJ192" s="178"/>
      <c r="DK192" s="178"/>
      <c r="DL192" s="178"/>
      <c r="DM192" s="178"/>
      <c r="DN192" s="178"/>
    </row>
    <row r="193" spans="1:118">
      <c r="A193" s="178"/>
      <c r="B193" s="178"/>
      <c r="C193" s="178"/>
      <c r="D193" s="178"/>
      <c r="E193" s="178"/>
      <c r="F193" s="178"/>
      <c r="G193" s="178"/>
      <c r="H193" s="178"/>
      <c r="I193" s="17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c r="CS193" s="178"/>
      <c r="CT193" s="178"/>
      <c r="CU193" s="178"/>
      <c r="CV193" s="178"/>
      <c r="CW193" s="178"/>
      <c r="CX193" s="178"/>
      <c r="CY193" s="178"/>
      <c r="CZ193" s="178"/>
      <c r="DA193" s="178"/>
      <c r="DB193" s="178"/>
      <c r="DC193" s="178"/>
      <c r="DD193" s="178"/>
      <c r="DE193" s="178"/>
      <c r="DF193" s="178"/>
      <c r="DG193" s="178"/>
      <c r="DH193" s="178"/>
      <c r="DI193" s="178"/>
      <c r="DJ193" s="178"/>
      <c r="DK193" s="178"/>
      <c r="DL193" s="178"/>
      <c r="DM193" s="178"/>
      <c r="DN193" s="178"/>
    </row>
    <row r="194" spans="1:118">
      <c r="A194" s="178"/>
      <c r="B194" s="178"/>
      <c r="C194" s="178"/>
      <c r="D194" s="178"/>
      <c r="E194" s="178"/>
      <c r="F194" s="178"/>
      <c r="G194" s="178"/>
      <c r="H194" s="178"/>
      <c r="I194" s="17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c r="CS194" s="178"/>
      <c r="CT194" s="178"/>
      <c r="CU194" s="178"/>
      <c r="CV194" s="178"/>
      <c r="CW194" s="178"/>
      <c r="CX194" s="178"/>
      <c r="CY194" s="178"/>
      <c r="CZ194" s="178"/>
      <c r="DA194" s="178"/>
      <c r="DB194" s="178"/>
      <c r="DC194" s="178"/>
      <c r="DD194" s="178"/>
      <c r="DE194" s="178"/>
      <c r="DF194" s="178"/>
      <c r="DG194" s="178"/>
      <c r="DH194" s="178"/>
      <c r="DI194" s="178"/>
      <c r="DJ194" s="178"/>
      <c r="DK194" s="178"/>
      <c r="DL194" s="178"/>
      <c r="DM194" s="178"/>
      <c r="DN194" s="178"/>
    </row>
    <row r="195" spans="1:118">
      <c r="A195" s="178"/>
      <c r="B195" s="178"/>
      <c r="C195" s="178"/>
      <c r="D195" s="178"/>
      <c r="E195" s="178"/>
      <c r="F195" s="178"/>
      <c r="G195" s="178"/>
      <c r="H195" s="178"/>
      <c r="I195" s="17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c r="CS195" s="178"/>
      <c r="CT195" s="178"/>
      <c r="CU195" s="178"/>
      <c r="CV195" s="178"/>
      <c r="CW195" s="178"/>
      <c r="CX195" s="178"/>
      <c r="CY195" s="178"/>
      <c r="CZ195" s="178"/>
      <c r="DA195" s="178"/>
      <c r="DB195" s="178"/>
      <c r="DC195" s="178"/>
      <c r="DD195" s="178"/>
      <c r="DE195" s="178"/>
      <c r="DF195" s="178"/>
      <c r="DG195" s="178"/>
      <c r="DH195" s="178"/>
      <c r="DI195" s="178"/>
      <c r="DJ195" s="178"/>
      <c r="DK195" s="178"/>
      <c r="DL195" s="178"/>
      <c r="DM195" s="178"/>
      <c r="DN195" s="178"/>
    </row>
    <row r="196" spans="1:118">
      <c r="A196" s="178"/>
      <c r="B196" s="178"/>
      <c r="C196" s="178"/>
      <c r="D196" s="178"/>
      <c r="E196" s="178"/>
      <c r="F196" s="178"/>
      <c r="G196" s="178"/>
      <c r="H196" s="178"/>
      <c r="I196" s="17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c r="CS196" s="178"/>
      <c r="CT196" s="178"/>
      <c r="CU196" s="178"/>
      <c r="CV196" s="178"/>
      <c r="CW196" s="178"/>
      <c r="CX196" s="178"/>
      <c r="CY196" s="178"/>
      <c r="CZ196" s="178"/>
      <c r="DA196" s="178"/>
      <c r="DB196" s="178"/>
      <c r="DC196" s="178"/>
      <c r="DD196" s="178"/>
      <c r="DE196" s="178"/>
      <c r="DF196" s="178"/>
      <c r="DG196" s="178"/>
      <c r="DH196" s="178"/>
      <c r="DI196" s="178"/>
      <c r="DJ196" s="178"/>
      <c r="DK196" s="178"/>
      <c r="DL196" s="178"/>
      <c r="DM196" s="178"/>
      <c r="DN196" s="178"/>
    </row>
    <row r="197" spans="1:118">
      <c r="A197" s="178"/>
      <c r="B197" s="178"/>
      <c r="C197" s="178"/>
      <c r="D197" s="178"/>
      <c r="E197" s="178"/>
      <c r="F197" s="178"/>
      <c r="G197" s="178"/>
      <c r="H197" s="178"/>
      <c r="I197" s="17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c r="CS197" s="178"/>
      <c r="CT197" s="178"/>
      <c r="CU197" s="178"/>
      <c r="CV197" s="178"/>
      <c r="CW197" s="178"/>
      <c r="CX197" s="178"/>
      <c r="CY197" s="178"/>
      <c r="CZ197" s="178"/>
      <c r="DA197" s="178"/>
      <c r="DB197" s="178"/>
      <c r="DC197" s="178"/>
      <c r="DD197" s="178"/>
      <c r="DE197" s="178"/>
      <c r="DF197" s="178"/>
      <c r="DG197" s="178"/>
      <c r="DH197" s="178"/>
      <c r="DI197" s="178"/>
      <c r="DJ197" s="178"/>
      <c r="DK197" s="178"/>
      <c r="DL197" s="178"/>
      <c r="DM197" s="178"/>
      <c r="DN197" s="178"/>
    </row>
    <row r="198" spans="1:118">
      <c r="B198" s="178"/>
      <c r="C198" s="178"/>
      <c r="D198" s="178"/>
      <c r="E198" s="178"/>
      <c r="F198" s="178"/>
      <c r="G198" s="178"/>
      <c r="H198" s="178"/>
      <c r="I198" s="178"/>
      <c r="L198" s="178"/>
      <c r="M198" s="178"/>
      <c r="N198" s="178"/>
      <c r="O198" s="178"/>
      <c r="P198" s="178"/>
      <c r="Q198" s="178"/>
      <c r="R198" s="178"/>
      <c r="S198" s="178"/>
      <c r="T198" s="178"/>
      <c r="V198" s="178"/>
      <c r="W198" s="178"/>
      <c r="X198" s="178"/>
      <c r="Y198" s="178"/>
      <c r="Z198" s="178"/>
      <c r="AA198" s="178"/>
      <c r="AB198" s="178"/>
      <c r="AC198" s="178"/>
      <c r="AD198" s="178"/>
      <c r="AE198" s="178"/>
      <c r="AG198" s="178"/>
      <c r="AH198" s="178"/>
      <c r="AI198" s="178"/>
      <c r="AJ198" s="178"/>
      <c r="AK198" s="178"/>
      <c r="AL198" s="178"/>
      <c r="AM198" s="178"/>
      <c r="AN198" s="178"/>
      <c r="AO198" s="178"/>
      <c r="AP198" s="178"/>
      <c r="AR198" s="178"/>
      <c r="AS198" s="178"/>
      <c r="AT198" s="178"/>
      <c r="AU198" s="178"/>
      <c r="AV198" s="178"/>
      <c r="AW198" s="178"/>
      <c r="AX198" s="178"/>
      <c r="AY198" s="178"/>
      <c r="AZ198" s="178"/>
      <c r="BA198" s="178"/>
    </row>
  </sheetData>
  <sheetProtection algorithmName="SHA-512" hashValue="oIG+Fr2ntYaKKgbmO/6O+sKsVG64SBHqTPPGf8ws0YD31T/67V0b7/r/+drLj2ZfyJcCHPMfuF33QHsEuoKDbw==" saltValue="U/47OPUSHau63+TwOlcuQQ==" spinCount="100000" sheet="1" objects="1" scenarios="1"/>
  <mergeCells count="13">
    <mergeCell ref="B2:I3"/>
    <mergeCell ref="L2:S3"/>
    <mergeCell ref="BD4:BE4"/>
    <mergeCell ref="BF4:BG4"/>
    <mergeCell ref="V2:AC3"/>
    <mergeCell ref="BM28:BX28"/>
    <mergeCell ref="BM16:BX16"/>
    <mergeCell ref="BM4:BX4"/>
    <mergeCell ref="AG2:AN3"/>
    <mergeCell ref="AR2:AY3"/>
    <mergeCell ref="BM2:BU3"/>
    <mergeCell ref="BH4:BI4"/>
    <mergeCell ref="BJ4:BK4"/>
  </mergeCells>
  <pageMargins left="0.7" right="0.7" top="0.78740157499999996" bottom="0.78740157499999996" header="0.3" footer="0.3"/>
  <pageSetup paperSize="9" orientation="portrait" r:id="rId1"/>
  <legacyDrawing r:id="rId2"/>
  <tableParts count="10">
    <tablePart r:id="rId3"/>
    <tablePart r:id="rId4"/>
    <tablePart r:id="rId5"/>
    <tablePart r:id="rId6"/>
    <tablePart r:id="rId7"/>
    <tablePart r:id="rId8"/>
    <tablePart r:id="rId9"/>
    <tablePart r:id="rId10"/>
    <tablePart r:id="rId11"/>
    <tablePart r:id="rId12"/>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99"/>
  <sheetViews>
    <sheetView topLeftCell="A2" zoomScale="55" workbookViewId="0">
      <selection activeCell="S3" sqref="S3"/>
    </sheetView>
  </sheetViews>
  <sheetFormatPr baseColWidth="10" defaultRowHeight="15"/>
  <cols>
    <col min="1" max="1" width="23.85546875" customWidth="1"/>
    <col min="3" max="3" width="19.28515625" customWidth="1"/>
    <col min="4" max="4" width="24.28515625" customWidth="1"/>
    <col min="8" max="8" width="11.5703125" style="336"/>
    <col min="17" max="19" width="11.5703125" style="523"/>
  </cols>
  <sheetData>
    <row r="1" spans="1:26" ht="86.45" hidden="1" customHeight="1">
      <c r="A1" s="483" t="s">
        <v>187</v>
      </c>
      <c r="B1" s="484" t="s">
        <v>188</v>
      </c>
      <c r="C1" s="496" t="s">
        <v>721</v>
      </c>
      <c r="D1" s="496" t="s">
        <v>630</v>
      </c>
      <c r="E1" s="497" t="s">
        <v>744</v>
      </c>
      <c r="F1" s="496" t="s">
        <v>767</v>
      </c>
      <c r="G1" s="496" t="s">
        <v>625</v>
      </c>
      <c r="H1" s="496"/>
      <c r="I1" s="496" t="s">
        <v>622</v>
      </c>
      <c r="J1" s="498" t="s">
        <v>621</v>
      </c>
      <c r="K1" s="496" t="s">
        <v>623</v>
      </c>
      <c r="L1" s="496" t="s">
        <v>624</v>
      </c>
      <c r="M1" s="498" t="s">
        <v>626</v>
      </c>
      <c r="N1" s="498" t="s">
        <v>627</v>
      </c>
      <c r="O1" s="498" t="s">
        <v>628</v>
      </c>
      <c r="P1" s="498" t="s">
        <v>629</v>
      </c>
      <c r="Q1" s="498"/>
      <c r="R1" s="498"/>
      <c r="S1" s="498"/>
      <c r="T1" s="498" t="s">
        <v>713</v>
      </c>
      <c r="U1" s="498" t="s">
        <v>713</v>
      </c>
      <c r="V1" s="499" t="s">
        <v>769</v>
      </c>
    </row>
    <row r="2" spans="1:26" ht="90">
      <c r="A2" s="513"/>
      <c r="B2" s="513"/>
      <c r="C2" s="514" t="s">
        <v>721</v>
      </c>
      <c r="D2" s="514" t="s">
        <v>630</v>
      </c>
      <c r="E2" s="515" t="s">
        <v>744</v>
      </c>
      <c r="F2" s="514" t="s">
        <v>767</v>
      </c>
      <c r="G2" s="875" t="s">
        <v>625</v>
      </c>
      <c r="H2" s="876"/>
      <c r="I2" s="514" t="s">
        <v>622</v>
      </c>
      <c r="J2" s="516" t="s">
        <v>621</v>
      </c>
      <c r="K2" s="514" t="s">
        <v>623</v>
      </c>
      <c r="L2" s="514" t="s">
        <v>624</v>
      </c>
      <c r="M2" s="516" t="s">
        <v>626</v>
      </c>
      <c r="N2" s="516" t="s">
        <v>627</v>
      </c>
      <c r="O2" s="516" t="s">
        <v>628</v>
      </c>
      <c r="P2" s="516" t="s">
        <v>629</v>
      </c>
      <c r="Q2" s="497" t="s">
        <v>776</v>
      </c>
      <c r="R2" s="597" t="s">
        <v>802</v>
      </c>
      <c r="S2" s="598" t="s">
        <v>805</v>
      </c>
      <c r="T2" s="599" t="s">
        <v>804</v>
      </c>
      <c r="U2" s="516" t="s">
        <v>713</v>
      </c>
      <c r="V2" s="517" t="s">
        <v>769</v>
      </c>
      <c r="X2" s="338"/>
    </row>
    <row r="3" spans="1:26" s="336" customFormat="1" ht="72.599999999999994" customHeight="1">
      <c r="A3" s="513"/>
      <c r="B3" s="513"/>
      <c r="C3" s="518"/>
      <c r="D3" s="518"/>
      <c r="E3" s="519"/>
      <c r="F3" s="518"/>
      <c r="G3" s="520" t="s">
        <v>708</v>
      </c>
      <c r="H3" s="520" t="s">
        <v>709</v>
      </c>
      <c r="I3" s="518"/>
      <c r="J3" s="521"/>
      <c r="K3" s="518"/>
      <c r="L3" s="518"/>
      <c r="M3" s="521"/>
      <c r="N3" s="521"/>
      <c r="O3" s="521"/>
      <c r="P3" s="521"/>
      <c r="Q3" s="518"/>
      <c r="R3" s="518"/>
      <c r="S3" s="518"/>
      <c r="T3" s="521"/>
      <c r="U3" s="521"/>
      <c r="V3" s="522"/>
      <c r="Z3" s="581"/>
    </row>
    <row r="4" spans="1:26">
      <c r="A4" s="509" t="s">
        <v>98</v>
      </c>
      <c r="B4" s="510" t="s">
        <v>534</v>
      </c>
      <c r="C4" s="511">
        <v>300</v>
      </c>
      <c r="D4" s="511">
        <v>220</v>
      </c>
      <c r="E4" s="511">
        <v>0</v>
      </c>
      <c r="F4" s="511">
        <v>600</v>
      </c>
      <c r="G4" s="512">
        <v>550</v>
      </c>
      <c r="H4" s="512">
        <v>1650</v>
      </c>
      <c r="I4" s="512">
        <v>250</v>
      </c>
      <c r="J4" s="512">
        <v>3000</v>
      </c>
      <c r="K4" s="512">
        <f>IF(Input!$D$11&gt;10,297.4,VLOOKUP(Input!$D$11,$A$89:$B$98,2,FALSE))</f>
        <v>297.39999999999998</v>
      </c>
      <c r="L4" s="511">
        <f>1500/3</f>
        <v>500</v>
      </c>
      <c r="M4" s="511">
        <v>350</v>
      </c>
      <c r="N4" s="511">
        <v>300</v>
      </c>
      <c r="O4" s="511">
        <v>0</v>
      </c>
      <c r="P4" s="512">
        <v>320</v>
      </c>
      <c r="Q4" s="512">
        <v>0</v>
      </c>
      <c r="R4" s="512">
        <f>Input!$G$23</f>
        <v>500</v>
      </c>
      <c r="S4" s="512">
        <f>Input!$G$24</f>
        <v>200</v>
      </c>
      <c r="T4" s="512">
        <f>Input!$G$25</f>
        <v>100</v>
      </c>
      <c r="U4" s="512">
        <f>Input!$G$26</f>
        <v>0</v>
      </c>
      <c r="V4" s="512">
        <f>Input!$G$27/Input!$D$19/Input!$D$11</f>
        <v>0</v>
      </c>
      <c r="Z4" s="582"/>
    </row>
    <row r="5" spans="1:26">
      <c r="A5" s="502" t="s">
        <v>99</v>
      </c>
      <c r="B5" s="503" t="s">
        <v>534</v>
      </c>
      <c r="C5" s="504">
        <v>300</v>
      </c>
      <c r="D5" s="504">
        <v>270</v>
      </c>
      <c r="E5" s="504">
        <v>0</v>
      </c>
      <c r="F5" s="504">
        <v>600</v>
      </c>
      <c r="G5" s="505">
        <v>550</v>
      </c>
      <c r="H5" s="505">
        <v>1650</v>
      </c>
      <c r="I5" s="512">
        <v>250</v>
      </c>
      <c r="J5" s="512">
        <v>3000</v>
      </c>
      <c r="K5" s="505">
        <f>IF(Input!$D$11&gt;10,297.4,VLOOKUP(Input!$D$11,$A$89:$B$98,2,FALSE))</f>
        <v>297.39999999999998</v>
      </c>
      <c r="L5" s="511">
        <f t="shared" ref="L5:L68" si="0">1500/3</f>
        <v>500</v>
      </c>
      <c r="M5" s="504">
        <v>350</v>
      </c>
      <c r="N5" s="504">
        <v>300</v>
      </c>
      <c r="O5" s="504">
        <v>0</v>
      </c>
      <c r="P5" s="505">
        <v>320</v>
      </c>
      <c r="Q5" s="512">
        <v>0</v>
      </c>
      <c r="R5" s="512">
        <f>Input!$G$23</f>
        <v>500</v>
      </c>
      <c r="S5" s="512">
        <f>Input!$G$24</f>
        <v>200</v>
      </c>
      <c r="T5" s="512">
        <f>Input!$G$25</f>
        <v>100</v>
      </c>
      <c r="U5" s="512">
        <f>Input!$G$26</f>
        <v>0</v>
      </c>
      <c r="V5" s="512">
        <f>Input!$G$27/Input!$D$19/Input!$D$11</f>
        <v>0</v>
      </c>
      <c r="Z5" s="583"/>
    </row>
    <row r="6" spans="1:26">
      <c r="A6" s="502" t="s">
        <v>100</v>
      </c>
      <c r="B6" s="503" t="s">
        <v>534</v>
      </c>
      <c r="C6" s="504">
        <v>300</v>
      </c>
      <c r="D6" s="504">
        <v>320</v>
      </c>
      <c r="E6" s="504">
        <v>0</v>
      </c>
      <c r="F6" s="504">
        <v>600</v>
      </c>
      <c r="G6" s="505">
        <v>550</v>
      </c>
      <c r="H6" s="505">
        <v>1650</v>
      </c>
      <c r="I6" s="512">
        <v>250</v>
      </c>
      <c r="J6" s="512">
        <v>3000</v>
      </c>
      <c r="K6" s="505">
        <f>IF(Input!$D$11&gt;10,297.4,VLOOKUP(Input!$D$11,$A$89:$B$98,2,FALSE))</f>
        <v>297.39999999999998</v>
      </c>
      <c r="L6" s="511">
        <f t="shared" si="0"/>
        <v>500</v>
      </c>
      <c r="M6" s="504">
        <v>350</v>
      </c>
      <c r="N6" s="504">
        <v>300</v>
      </c>
      <c r="O6" s="504">
        <v>0</v>
      </c>
      <c r="P6" s="505">
        <v>320</v>
      </c>
      <c r="Q6" s="512">
        <v>0</v>
      </c>
      <c r="R6" s="512">
        <f>Input!$G$23</f>
        <v>500</v>
      </c>
      <c r="S6" s="512">
        <f>Input!$G$24</f>
        <v>200</v>
      </c>
      <c r="T6" s="512">
        <f>Input!$G$25</f>
        <v>100</v>
      </c>
      <c r="U6" s="512">
        <f>Input!$G$26</f>
        <v>0</v>
      </c>
      <c r="V6" s="512">
        <f>Input!$G$27/Input!$D$19/Input!$D$11</f>
        <v>0</v>
      </c>
      <c r="Z6" s="584"/>
    </row>
    <row r="7" spans="1:26">
      <c r="A7" s="506" t="s">
        <v>101</v>
      </c>
      <c r="B7" s="503" t="s">
        <v>534</v>
      </c>
      <c r="C7" s="504">
        <v>300</v>
      </c>
      <c r="D7" s="504">
        <v>350</v>
      </c>
      <c r="E7" s="504">
        <v>0</v>
      </c>
      <c r="F7" s="504">
        <v>600</v>
      </c>
      <c r="G7" s="505">
        <v>650</v>
      </c>
      <c r="H7" s="505">
        <v>1650</v>
      </c>
      <c r="I7" s="512">
        <v>250</v>
      </c>
      <c r="J7" s="512">
        <v>3000</v>
      </c>
      <c r="K7" s="505">
        <f>IF(Input!$D$11&gt;10,297.4,VLOOKUP(Input!$D$11,$A$89:$B$98,2,FALSE))</f>
        <v>297.39999999999998</v>
      </c>
      <c r="L7" s="511">
        <f t="shared" si="0"/>
        <v>500</v>
      </c>
      <c r="M7" s="504">
        <v>350</v>
      </c>
      <c r="N7" s="504">
        <v>300</v>
      </c>
      <c r="O7" s="504">
        <v>700</v>
      </c>
      <c r="P7" s="505">
        <v>320</v>
      </c>
      <c r="Q7" s="512">
        <v>0</v>
      </c>
      <c r="R7" s="512">
        <f>Input!$G$23</f>
        <v>500</v>
      </c>
      <c r="S7" s="512">
        <f>Input!$G$24</f>
        <v>200</v>
      </c>
      <c r="T7" s="512">
        <f>Input!$G$25</f>
        <v>100</v>
      </c>
      <c r="U7" s="512">
        <f>Input!$G$26</f>
        <v>0</v>
      </c>
      <c r="V7" s="512">
        <f>Input!$G$27/Input!$D$19/Input!$D$11</f>
        <v>0</v>
      </c>
      <c r="Z7" s="582"/>
    </row>
    <row r="8" spans="1:26">
      <c r="A8" s="506" t="s">
        <v>102</v>
      </c>
      <c r="B8" s="503" t="s">
        <v>534</v>
      </c>
      <c r="C8" s="504">
        <v>300</v>
      </c>
      <c r="D8" s="504">
        <v>370</v>
      </c>
      <c r="E8" s="504">
        <v>555</v>
      </c>
      <c r="F8" s="504">
        <v>600</v>
      </c>
      <c r="G8" s="505">
        <v>650</v>
      </c>
      <c r="H8" s="505">
        <v>1650</v>
      </c>
      <c r="I8" s="512">
        <v>250</v>
      </c>
      <c r="J8" s="512">
        <v>3000</v>
      </c>
      <c r="K8" s="505">
        <f>IF(Input!$D$11&gt;10,297.4,VLOOKUP(Input!$D$11,$A$89:$B$98,2,FALSE))</f>
        <v>297.39999999999998</v>
      </c>
      <c r="L8" s="511">
        <f t="shared" si="0"/>
        <v>500</v>
      </c>
      <c r="M8" s="504">
        <v>350</v>
      </c>
      <c r="N8" s="504">
        <v>300</v>
      </c>
      <c r="O8" s="504">
        <v>700</v>
      </c>
      <c r="P8" s="505">
        <v>320</v>
      </c>
      <c r="Q8" s="512">
        <v>0</v>
      </c>
      <c r="R8" s="512">
        <f>Input!$G$23</f>
        <v>500</v>
      </c>
      <c r="S8" s="512">
        <f>Input!$G$24</f>
        <v>200</v>
      </c>
      <c r="T8" s="512">
        <f>Input!$G$25</f>
        <v>100</v>
      </c>
      <c r="U8" s="512">
        <f>Input!$G$26</f>
        <v>0</v>
      </c>
      <c r="V8" s="512">
        <f>Input!$G$27/Input!$D$19/Input!$D$11</f>
        <v>0</v>
      </c>
      <c r="Z8" s="582"/>
    </row>
    <row r="9" spans="1:26">
      <c r="A9" s="506" t="s">
        <v>103</v>
      </c>
      <c r="B9" s="503" t="s">
        <v>534</v>
      </c>
      <c r="C9" s="504">
        <v>300</v>
      </c>
      <c r="D9" s="504">
        <v>370</v>
      </c>
      <c r="E9" s="504">
        <v>555</v>
      </c>
      <c r="F9" s="504">
        <v>600</v>
      </c>
      <c r="G9" s="505">
        <v>650</v>
      </c>
      <c r="H9" s="505">
        <v>1650</v>
      </c>
      <c r="I9" s="512">
        <v>250</v>
      </c>
      <c r="J9" s="512">
        <v>3000</v>
      </c>
      <c r="K9" s="505">
        <f>IF(Input!$D$11&gt;10,297.4,VLOOKUP(Input!$D$11,$A$89:$B$98,2,FALSE))</f>
        <v>297.39999999999998</v>
      </c>
      <c r="L9" s="511">
        <f t="shared" si="0"/>
        <v>500</v>
      </c>
      <c r="M9" s="504">
        <v>350</v>
      </c>
      <c r="N9" s="504">
        <v>300</v>
      </c>
      <c r="O9" s="504">
        <v>700</v>
      </c>
      <c r="P9" s="505">
        <v>320</v>
      </c>
      <c r="Q9" s="512">
        <v>0</v>
      </c>
      <c r="R9" s="512">
        <f>Input!$G$23</f>
        <v>500</v>
      </c>
      <c r="S9" s="512">
        <f>Input!$G$24</f>
        <v>200</v>
      </c>
      <c r="T9" s="512">
        <f>Input!$G$25</f>
        <v>100</v>
      </c>
      <c r="U9" s="512">
        <f>Input!$G$26</f>
        <v>0</v>
      </c>
      <c r="V9" s="512">
        <f>Input!$G$27/Input!$D$19/Input!$D$11</f>
        <v>0</v>
      </c>
      <c r="Z9" s="582"/>
    </row>
    <row r="10" spans="1:26">
      <c r="A10" s="503" t="s">
        <v>105</v>
      </c>
      <c r="B10" s="503" t="s">
        <v>104</v>
      </c>
      <c r="C10" s="504">
        <v>300</v>
      </c>
      <c r="D10" s="504">
        <v>0</v>
      </c>
      <c r="E10" s="504">
        <v>0</v>
      </c>
      <c r="F10" s="504">
        <v>600</v>
      </c>
      <c r="G10" s="505">
        <v>750</v>
      </c>
      <c r="H10" s="505">
        <v>1650</v>
      </c>
      <c r="I10" s="512">
        <v>250</v>
      </c>
      <c r="J10" s="512">
        <v>3000</v>
      </c>
      <c r="K10" s="505">
        <f>IF(Input!$D$11&gt;10,297.4,VLOOKUP(Input!$D$11,$A$89:$B$98,2,FALSE))</f>
        <v>297.39999999999998</v>
      </c>
      <c r="L10" s="511">
        <f t="shared" si="0"/>
        <v>500</v>
      </c>
      <c r="M10" s="504">
        <v>350</v>
      </c>
      <c r="N10" s="504">
        <v>300</v>
      </c>
      <c r="O10" s="504">
        <v>0</v>
      </c>
      <c r="P10" s="505">
        <v>0</v>
      </c>
      <c r="Q10" s="512">
        <v>0</v>
      </c>
      <c r="R10" s="512">
        <f>Input!$G$23</f>
        <v>500</v>
      </c>
      <c r="S10" s="512">
        <f>Input!$G$24</f>
        <v>200</v>
      </c>
      <c r="T10" s="512">
        <f>Input!$G$25</f>
        <v>100</v>
      </c>
      <c r="U10" s="512">
        <f>Input!$G$26</f>
        <v>0</v>
      </c>
      <c r="V10" s="512">
        <f>Input!$G$27/Input!$D$19/Input!$D$11</f>
        <v>0</v>
      </c>
      <c r="Z10" s="582"/>
    </row>
    <row r="11" spans="1:26">
      <c r="A11" s="502" t="s">
        <v>107</v>
      </c>
      <c r="B11" s="503" t="s">
        <v>106</v>
      </c>
      <c r="C11" s="504">
        <v>300</v>
      </c>
      <c r="D11" s="504">
        <v>470</v>
      </c>
      <c r="E11" s="504">
        <v>315</v>
      </c>
      <c r="F11" s="504">
        <v>600</v>
      </c>
      <c r="G11" s="505">
        <v>550</v>
      </c>
      <c r="H11" s="505">
        <v>1650</v>
      </c>
      <c r="I11" s="512">
        <v>250</v>
      </c>
      <c r="J11" s="512">
        <v>3000</v>
      </c>
      <c r="K11" s="505">
        <f>IF(Input!$D$11&gt;10,297.4,VLOOKUP(Input!$D$11,$A$89:$B$98,2,FALSE))</f>
        <v>297.39999999999998</v>
      </c>
      <c r="L11" s="511">
        <f t="shared" si="0"/>
        <v>500</v>
      </c>
      <c r="M11" s="504">
        <v>350</v>
      </c>
      <c r="N11" s="504">
        <v>300</v>
      </c>
      <c r="O11" s="504">
        <v>0</v>
      </c>
      <c r="P11" s="505">
        <v>320</v>
      </c>
      <c r="Q11" s="512">
        <v>0</v>
      </c>
      <c r="R11" s="512">
        <f>Input!$G$23</f>
        <v>500</v>
      </c>
      <c r="S11" s="512">
        <f>Input!$G$24</f>
        <v>200</v>
      </c>
      <c r="T11" s="512">
        <f>Input!$G$25</f>
        <v>100</v>
      </c>
      <c r="U11" s="512">
        <f>Input!$G$26</f>
        <v>0</v>
      </c>
      <c r="V11" s="512">
        <f>Input!$G$27/Input!$D$19/Input!$D$11</f>
        <v>0</v>
      </c>
      <c r="Z11" s="585"/>
    </row>
    <row r="12" spans="1:26">
      <c r="A12" s="502" t="s">
        <v>108</v>
      </c>
      <c r="B12" s="503" t="s">
        <v>106</v>
      </c>
      <c r="C12" s="504">
        <v>300</v>
      </c>
      <c r="D12" s="504">
        <v>530</v>
      </c>
      <c r="E12" s="504">
        <v>315</v>
      </c>
      <c r="F12" s="504">
        <v>600</v>
      </c>
      <c r="G12" s="505">
        <v>550</v>
      </c>
      <c r="H12" s="505">
        <v>1650</v>
      </c>
      <c r="I12" s="512">
        <v>250</v>
      </c>
      <c r="J12" s="512">
        <v>3000</v>
      </c>
      <c r="K12" s="505">
        <f>IF(Input!$D$11&gt;10,297.4,VLOOKUP(Input!$D$11,$A$89:$B$98,2,FALSE))</f>
        <v>297.39999999999998</v>
      </c>
      <c r="L12" s="511">
        <f t="shared" si="0"/>
        <v>500</v>
      </c>
      <c r="M12" s="504">
        <v>350</v>
      </c>
      <c r="N12" s="504">
        <v>300</v>
      </c>
      <c r="O12" s="504">
        <v>0</v>
      </c>
      <c r="P12" s="505">
        <v>320</v>
      </c>
      <c r="Q12" s="512">
        <v>0</v>
      </c>
      <c r="R12" s="512">
        <f>Input!$G$23</f>
        <v>500</v>
      </c>
      <c r="S12" s="512">
        <f>Input!$G$24</f>
        <v>200</v>
      </c>
      <c r="T12" s="512">
        <f>Input!$G$25</f>
        <v>100</v>
      </c>
      <c r="U12" s="512">
        <f>Input!$G$26</f>
        <v>0</v>
      </c>
      <c r="V12" s="512">
        <f>Input!$G$27/Input!$D$19/Input!$D$11</f>
        <v>0</v>
      </c>
      <c r="Z12" s="582"/>
    </row>
    <row r="13" spans="1:26">
      <c r="A13" s="502" t="s">
        <v>109</v>
      </c>
      <c r="B13" s="503" t="s">
        <v>106</v>
      </c>
      <c r="C13" s="504">
        <v>300</v>
      </c>
      <c r="D13" s="504">
        <v>100</v>
      </c>
      <c r="E13" s="504">
        <v>0</v>
      </c>
      <c r="F13" s="504">
        <v>600</v>
      </c>
      <c r="G13" s="505">
        <v>550</v>
      </c>
      <c r="H13" s="505">
        <v>1650</v>
      </c>
      <c r="I13" s="512">
        <v>250</v>
      </c>
      <c r="J13" s="512">
        <v>3000</v>
      </c>
      <c r="K13" s="505">
        <f>IF(Input!$D$11&gt;10,297.4,VLOOKUP(Input!$D$11,$A$89:$B$98,2,FALSE))</f>
        <v>297.39999999999998</v>
      </c>
      <c r="L13" s="511">
        <f t="shared" si="0"/>
        <v>500</v>
      </c>
      <c r="M13" s="504">
        <v>350</v>
      </c>
      <c r="N13" s="504">
        <v>300</v>
      </c>
      <c r="O13" s="504">
        <v>0</v>
      </c>
      <c r="P13" s="505">
        <v>320</v>
      </c>
      <c r="Q13" s="512">
        <v>0</v>
      </c>
      <c r="R13" s="512">
        <f>Input!$G$23</f>
        <v>500</v>
      </c>
      <c r="S13" s="512">
        <f>Input!$G$24</f>
        <v>200</v>
      </c>
      <c r="T13" s="512">
        <f>Input!$G$25</f>
        <v>100</v>
      </c>
      <c r="U13" s="512">
        <f>Input!$G$26</f>
        <v>0</v>
      </c>
      <c r="V13" s="512">
        <f>Input!$G$27/Input!$D$19/Input!$D$11</f>
        <v>0</v>
      </c>
      <c r="Z13" s="585"/>
    </row>
    <row r="14" spans="1:26">
      <c r="A14" s="502" t="s">
        <v>110</v>
      </c>
      <c r="B14" s="503" t="s">
        <v>106</v>
      </c>
      <c r="C14" s="504">
        <v>300</v>
      </c>
      <c r="D14" s="504">
        <v>150</v>
      </c>
      <c r="E14" s="504">
        <v>0</v>
      </c>
      <c r="F14" s="504">
        <v>600</v>
      </c>
      <c r="G14" s="505">
        <v>550</v>
      </c>
      <c r="H14" s="505">
        <v>1650</v>
      </c>
      <c r="I14" s="512">
        <v>250</v>
      </c>
      <c r="J14" s="512">
        <v>3000</v>
      </c>
      <c r="K14" s="505">
        <f>IF(Input!$D$11&gt;10,297.4,VLOOKUP(Input!$D$11,$A$89:$B$98,2,FALSE))</f>
        <v>297.39999999999998</v>
      </c>
      <c r="L14" s="511">
        <f t="shared" si="0"/>
        <v>500</v>
      </c>
      <c r="M14" s="504">
        <v>350</v>
      </c>
      <c r="N14" s="504">
        <v>300</v>
      </c>
      <c r="O14" s="504">
        <v>0</v>
      </c>
      <c r="P14" s="505">
        <v>320</v>
      </c>
      <c r="Q14" s="512">
        <v>0</v>
      </c>
      <c r="R14" s="512">
        <f>Input!$G$23</f>
        <v>500</v>
      </c>
      <c r="S14" s="512">
        <f>Input!$G$24</f>
        <v>200</v>
      </c>
      <c r="T14" s="512">
        <f>Input!$G$25</f>
        <v>100</v>
      </c>
      <c r="U14" s="512">
        <f>Input!$G$26</f>
        <v>0</v>
      </c>
      <c r="V14" s="512">
        <f>Input!$G$27/Input!$D$19/Input!$D$11</f>
        <v>0</v>
      </c>
      <c r="Z14" s="585"/>
    </row>
    <row r="15" spans="1:26">
      <c r="A15" s="502" t="s">
        <v>111</v>
      </c>
      <c r="B15" s="503" t="s">
        <v>106</v>
      </c>
      <c r="C15" s="504">
        <v>300</v>
      </c>
      <c r="D15" s="504">
        <v>200</v>
      </c>
      <c r="E15" s="504">
        <v>0</v>
      </c>
      <c r="F15" s="504">
        <v>600</v>
      </c>
      <c r="G15" s="505">
        <v>550</v>
      </c>
      <c r="H15" s="505">
        <v>1650</v>
      </c>
      <c r="I15" s="512">
        <v>250</v>
      </c>
      <c r="J15" s="512">
        <v>3000</v>
      </c>
      <c r="K15" s="505">
        <f>IF(Input!$D$11&gt;10,297.4,VLOOKUP(Input!$D$11,$A$89:$B$98,2,FALSE))</f>
        <v>297.39999999999998</v>
      </c>
      <c r="L15" s="511">
        <f t="shared" si="0"/>
        <v>500</v>
      </c>
      <c r="M15" s="504">
        <v>350</v>
      </c>
      <c r="N15" s="504">
        <v>300</v>
      </c>
      <c r="O15" s="504">
        <v>0</v>
      </c>
      <c r="P15" s="505">
        <v>320</v>
      </c>
      <c r="Q15" s="512">
        <v>0</v>
      </c>
      <c r="R15" s="512">
        <f>Input!$G$23</f>
        <v>500</v>
      </c>
      <c r="S15" s="512">
        <f>Input!$G$24</f>
        <v>200</v>
      </c>
      <c r="T15" s="512">
        <f>Input!$G$25</f>
        <v>100</v>
      </c>
      <c r="U15" s="512">
        <f>Input!$G$26</f>
        <v>0</v>
      </c>
      <c r="V15" s="512">
        <f>Input!$G$27/Input!$D$19/Input!$D$11</f>
        <v>0</v>
      </c>
      <c r="Z15" s="585"/>
    </row>
    <row r="16" spans="1:26">
      <c r="A16" s="503" t="s">
        <v>746</v>
      </c>
      <c r="B16" s="503" t="s">
        <v>106</v>
      </c>
      <c r="C16" s="504">
        <v>300</v>
      </c>
      <c r="D16" s="504">
        <v>810</v>
      </c>
      <c r="E16" s="504">
        <v>315</v>
      </c>
      <c r="F16" s="504">
        <v>600</v>
      </c>
      <c r="G16" s="505">
        <v>550</v>
      </c>
      <c r="H16" s="505">
        <v>1650</v>
      </c>
      <c r="I16" s="512">
        <v>250</v>
      </c>
      <c r="J16" s="512">
        <v>3000</v>
      </c>
      <c r="K16" s="505">
        <f>IF(Input!$D$11&gt;10,297.4,VLOOKUP(Input!$D$11,$A$89:$B$98,2,FALSE))</f>
        <v>297.39999999999998</v>
      </c>
      <c r="L16" s="511">
        <f t="shared" si="0"/>
        <v>500</v>
      </c>
      <c r="M16" s="504">
        <v>350</v>
      </c>
      <c r="N16" s="504">
        <v>300</v>
      </c>
      <c r="O16" s="504">
        <v>0</v>
      </c>
      <c r="P16" s="505">
        <v>320</v>
      </c>
      <c r="Q16" s="512">
        <v>0</v>
      </c>
      <c r="R16" s="512">
        <f>Input!$G$23</f>
        <v>500</v>
      </c>
      <c r="S16" s="512">
        <f>Input!$G$24</f>
        <v>200</v>
      </c>
      <c r="T16" s="512">
        <f>Input!$G$25</f>
        <v>100</v>
      </c>
      <c r="U16" s="512">
        <f>Input!$G$26</f>
        <v>0</v>
      </c>
      <c r="V16" s="512">
        <f>Input!$G$27/Input!$D$19/Input!$D$11</f>
        <v>0</v>
      </c>
      <c r="Z16" s="585"/>
    </row>
    <row r="17" spans="1:26">
      <c r="A17" s="503" t="s">
        <v>112</v>
      </c>
      <c r="B17" s="503" t="s">
        <v>106</v>
      </c>
      <c r="C17" s="504">
        <v>300</v>
      </c>
      <c r="D17" s="504">
        <v>810</v>
      </c>
      <c r="E17" s="504">
        <v>315</v>
      </c>
      <c r="F17" s="504">
        <v>600</v>
      </c>
      <c r="G17" s="505">
        <v>550</v>
      </c>
      <c r="H17" s="505">
        <v>1650</v>
      </c>
      <c r="I17" s="512">
        <v>250</v>
      </c>
      <c r="J17" s="512">
        <v>3000</v>
      </c>
      <c r="K17" s="505">
        <f>IF(Input!$D$11&gt;10,297.4,VLOOKUP(Input!$D$11,$A$89:$B$98,2,FALSE))</f>
        <v>297.39999999999998</v>
      </c>
      <c r="L17" s="511">
        <f t="shared" si="0"/>
        <v>500</v>
      </c>
      <c r="M17" s="504">
        <v>350</v>
      </c>
      <c r="N17" s="504">
        <v>300</v>
      </c>
      <c r="O17" s="504">
        <v>0</v>
      </c>
      <c r="P17" s="505">
        <v>320</v>
      </c>
      <c r="Q17" s="512">
        <v>0</v>
      </c>
      <c r="R17" s="512">
        <f>Input!$G$23</f>
        <v>500</v>
      </c>
      <c r="S17" s="512">
        <f>Input!$G$24</f>
        <v>200</v>
      </c>
      <c r="T17" s="512">
        <f>Input!$G$25</f>
        <v>100</v>
      </c>
      <c r="U17" s="512">
        <f>Input!$G$26</f>
        <v>0</v>
      </c>
      <c r="V17" s="512">
        <f>Input!$G$27/Input!$D$19/Input!$D$11</f>
        <v>0</v>
      </c>
      <c r="Z17" s="586"/>
    </row>
    <row r="18" spans="1:26">
      <c r="A18" s="503" t="s">
        <v>113</v>
      </c>
      <c r="B18" s="503" t="s">
        <v>106</v>
      </c>
      <c r="C18" s="504">
        <v>300</v>
      </c>
      <c r="D18" s="504">
        <v>870</v>
      </c>
      <c r="E18" s="504">
        <v>375</v>
      </c>
      <c r="F18" s="504">
        <v>600</v>
      </c>
      <c r="G18" s="505">
        <v>550</v>
      </c>
      <c r="H18" s="505">
        <v>1650</v>
      </c>
      <c r="I18" s="512">
        <v>250</v>
      </c>
      <c r="J18" s="512">
        <v>3000</v>
      </c>
      <c r="K18" s="505">
        <f>IF(Input!$D$11&gt;10,297.4,VLOOKUP(Input!$D$11,$A$89:$B$98,2,FALSE))</f>
        <v>297.39999999999998</v>
      </c>
      <c r="L18" s="511">
        <f t="shared" si="0"/>
        <v>500</v>
      </c>
      <c r="M18" s="504">
        <v>350</v>
      </c>
      <c r="N18" s="504">
        <v>300</v>
      </c>
      <c r="O18" s="504">
        <v>0</v>
      </c>
      <c r="P18" s="505">
        <v>320</v>
      </c>
      <c r="Q18" s="512">
        <v>0</v>
      </c>
      <c r="R18" s="512">
        <f>Input!$G$23</f>
        <v>500</v>
      </c>
      <c r="S18" s="512">
        <f>Input!$G$24</f>
        <v>200</v>
      </c>
      <c r="T18" s="512">
        <f>Input!$G$25</f>
        <v>100</v>
      </c>
      <c r="U18" s="512">
        <f>Input!$G$26</f>
        <v>0</v>
      </c>
      <c r="V18" s="512">
        <f>Input!$G$27/Input!$D$19/Input!$D$11</f>
        <v>0</v>
      </c>
      <c r="Z18" s="585"/>
    </row>
    <row r="19" spans="1:26">
      <c r="A19" s="502" t="s">
        <v>115</v>
      </c>
      <c r="B19" s="503" t="s">
        <v>114</v>
      </c>
      <c r="C19" s="504">
        <v>300</v>
      </c>
      <c r="D19" s="504">
        <v>210</v>
      </c>
      <c r="E19" s="504">
        <v>0</v>
      </c>
      <c r="F19" s="504">
        <v>600</v>
      </c>
      <c r="G19" s="505">
        <v>550</v>
      </c>
      <c r="H19" s="505">
        <v>1650</v>
      </c>
      <c r="I19" s="512">
        <v>250</v>
      </c>
      <c r="J19" s="512">
        <v>3000</v>
      </c>
      <c r="K19" s="505">
        <f>IF(Input!$D$11&gt;10,297.4,VLOOKUP(Input!$D$11,$A$89:$B$98,2,FALSE))</f>
        <v>297.39999999999998</v>
      </c>
      <c r="L19" s="511">
        <f t="shared" si="0"/>
        <v>500</v>
      </c>
      <c r="M19" s="504">
        <v>350</v>
      </c>
      <c r="N19" s="504">
        <v>300</v>
      </c>
      <c r="O19" s="504">
        <v>0</v>
      </c>
      <c r="P19" s="505">
        <f>160+149.35</f>
        <v>309.35000000000002</v>
      </c>
      <c r="Q19" s="512">
        <v>0</v>
      </c>
      <c r="R19" s="512">
        <f>Input!$G$23</f>
        <v>500</v>
      </c>
      <c r="S19" s="512">
        <f>Input!$G$24</f>
        <v>200</v>
      </c>
      <c r="T19" s="512">
        <f>Input!$G$25</f>
        <v>100</v>
      </c>
      <c r="U19" s="512">
        <f>Input!$G$26</f>
        <v>0</v>
      </c>
      <c r="V19" s="512">
        <f>Input!$G$27/Input!$D$19/Input!$D$11</f>
        <v>0</v>
      </c>
      <c r="Z19" s="585"/>
    </row>
    <row r="20" spans="1:26">
      <c r="A20" s="506" t="s">
        <v>116</v>
      </c>
      <c r="B20" s="503" t="s">
        <v>114</v>
      </c>
      <c r="C20" s="504">
        <v>300</v>
      </c>
      <c r="D20" s="504">
        <v>410</v>
      </c>
      <c r="E20" s="504">
        <v>232.5</v>
      </c>
      <c r="F20" s="504">
        <v>600</v>
      </c>
      <c r="G20" s="505">
        <v>650</v>
      </c>
      <c r="H20" s="505">
        <v>1650</v>
      </c>
      <c r="I20" s="512">
        <v>250</v>
      </c>
      <c r="J20" s="512">
        <v>3000</v>
      </c>
      <c r="K20" s="505">
        <f>IF(Input!$D$11&gt;10,297.4,VLOOKUP(Input!$D$11,$A$89:$B$98,2,FALSE))</f>
        <v>297.39999999999998</v>
      </c>
      <c r="L20" s="511">
        <f t="shared" si="0"/>
        <v>500</v>
      </c>
      <c r="M20" s="504">
        <v>350</v>
      </c>
      <c r="N20" s="504">
        <v>300</v>
      </c>
      <c r="O20" s="504">
        <v>700</v>
      </c>
      <c r="P20" s="505">
        <f>320+160.49</f>
        <v>480.49</v>
      </c>
      <c r="Q20" s="512">
        <v>0</v>
      </c>
      <c r="R20" s="512">
        <f>Input!$G$23</f>
        <v>500</v>
      </c>
      <c r="S20" s="512">
        <f>Input!$G$24</f>
        <v>200</v>
      </c>
      <c r="T20" s="512">
        <f>Input!$G$25</f>
        <v>100</v>
      </c>
      <c r="U20" s="512">
        <f>Input!$G$26</f>
        <v>0</v>
      </c>
      <c r="V20" s="512">
        <f>Input!$G$27/Input!$D$19/Input!$D$11</f>
        <v>0</v>
      </c>
      <c r="Z20" s="585"/>
    </row>
    <row r="21" spans="1:26">
      <c r="A21" s="506" t="s">
        <v>117</v>
      </c>
      <c r="B21" s="503" t="s">
        <v>114</v>
      </c>
      <c r="C21" s="504">
        <v>300</v>
      </c>
      <c r="D21" s="504">
        <v>410</v>
      </c>
      <c r="E21" s="504">
        <v>232.5</v>
      </c>
      <c r="F21" s="504">
        <v>600</v>
      </c>
      <c r="G21" s="505">
        <v>650</v>
      </c>
      <c r="H21" s="505">
        <v>1650</v>
      </c>
      <c r="I21" s="512">
        <v>250</v>
      </c>
      <c r="J21" s="512">
        <v>3000</v>
      </c>
      <c r="K21" s="505">
        <f>IF(Input!$D$11&gt;10,297.4,VLOOKUP(Input!$D$11,$A$89:$B$98,2,FALSE))</f>
        <v>297.39999999999998</v>
      </c>
      <c r="L21" s="511">
        <f t="shared" si="0"/>
        <v>500</v>
      </c>
      <c r="M21" s="504">
        <v>350</v>
      </c>
      <c r="N21" s="504">
        <v>300</v>
      </c>
      <c r="O21" s="504">
        <v>700</v>
      </c>
      <c r="P21" s="505">
        <f>320+75.42</f>
        <v>395.42</v>
      </c>
      <c r="Q21" s="512">
        <v>0</v>
      </c>
      <c r="R21" s="512">
        <f>Input!$G$23</f>
        <v>500</v>
      </c>
      <c r="S21" s="512">
        <f>Input!$G$24</f>
        <v>200</v>
      </c>
      <c r="T21" s="512">
        <f>Input!$G$25</f>
        <v>100</v>
      </c>
      <c r="U21" s="512">
        <f>Input!$G$26</f>
        <v>0</v>
      </c>
      <c r="V21" s="512">
        <f>Input!$G$27/Input!$D$19/Input!$D$11</f>
        <v>0</v>
      </c>
      <c r="Z21" s="581"/>
    </row>
    <row r="22" spans="1:26">
      <c r="A22" s="506" t="s">
        <v>118</v>
      </c>
      <c r="B22" s="503" t="s">
        <v>114</v>
      </c>
      <c r="C22" s="504">
        <v>300</v>
      </c>
      <c r="D22" s="504">
        <v>480</v>
      </c>
      <c r="E22" s="504">
        <v>330</v>
      </c>
      <c r="F22" s="504">
        <v>600</v>
      </c>
      <c r="G22" s="505">
        <v>650</v>
      </c>
      <c r="H22" s="505">
        <v>1650</v>
      </c>
      <c r="I22" s="512">
        <v>250</v>
      </c>
      <c r="J22" s="512">
        <v>3000</v>
      </c>
      <c r="K22" s="505">
        <f>IF(Input!$D$11&gt;10,297.4,VLOOKUP(Input!$D$11,$A$89:$B$98,2,FALSE))</f>
        <v>297.39999999999998</v>
      </c>
      <c r="L22" s="511">
        <f t="shared" si="0"/>
        <v>500</v>
      </c>
      <c r="M22" s="504">
        <v>350</v>
      </c>
      <c r="N22" s="504">
        <v>300</v>
      </c>
      <c r="O22" s="504">
        <v>700</v>
      </c>
      <c r="P22" s="505">
        <f>320+75.42</f>
        <v>395.42</v>
      </c>
      <c r="Q22" s="512">
        <v>0</v>
      </c>
      <c r="R22" s="512">
        <f>Input!$G$23</f>
        <v>500</v>
      </c>
      <c r="S22" s="512">
        <f>Input!$G$24</f>
        <v>200</v>
      </c>
      <c r="T22" s="512">
        <f>Input!$G$25</f>
        <v>100</v>
      </c>
      <c r="U22" s="512">
        <f>Input!$G$26</f>
        <v>0</v>
      </c>
      <c r="V22" s="512">
        <f>Input!$G$27/Input!$D$19/Input!$D$11</f>
        <v>0</v>
      </c>
    </row>
    <row r="23" spans="1:26">
      <c r="A23" s="506" t="s">
        <v>119</v>
      </c>
      <c r="B23" s="503" t="s">
        <v>114</v>
      </c>
      <c r="C23" s="504">
        <v>300</v>
      </c>
      <c r="D23" s="504">
        <v>490</v>
      </c>
      <c r="E23" s="504">
        <v>330</v>
      </c>
      <c r="F23" s="504">
        <v>600</v>
      </c>
      <c r="G23" s="505">
        <v>650</v>
      </c>
      <c r="H23" s="505">
        <v>1650</v>
      </c>
      <c r="I23" s="512">
        <v>250</v>
      </c>
      <c r="J23" s="512">
        <v>3000</v>
      </c>
      <c r="K23" s="505">
        <f>IF(Input!$D$11&gt;10,297.4,VLOOKUP(Input!$D$11,$A$89:$B$98,2,FALSE))</f>
        <v>297.39999999999998</v>
      </c>
      <c r="L23" s="511">
        <f t="shared" si="0"/>
        <v>500</v>
      </c>
      <c r="M23" s="504">
        <v>350</v>
      </c>
      <c r="N23" s="504">
        <v>300</v>
      </c>
      <c r="O23" s="504">
        <v>700</v>
      </c>
      <c r="P23" s="505">
        <f>320+75.42</f>
        <v>395.42</v>
      </c>
      <c r="Q23" s="512">
        <v>0</v>
      </c>
      <c r="R23" s="512">
        <f>Input!$G$23</f>
        <v>500</v>
      </c>
      <c r="S23" s="512">
        <f>Input!$G$24</f>
        <v>200</v>
      </c>
      <c r="T23" s="512">
        <f>Input!$G$25</f>
        <v>100</v>
      </c>
      <c r="U23" s="512">
        <f>Input!$G$26</f>
        <v>0</v>
      </c>
      <c r="V23" s="512">
        <f>Input!$G$27/Input!$D$19/Input!$D$11</f>
        <v>0</v>
      </c>
    </row>
    <row r="24" spans="1:26">
      <c r="A24" s="506" t="s">
        <v>120</v>
      </c>
      <c r="B24" s="503" t="s">
        <v>114</v>
      </c>
      <c r="C24" s="504">
        <v>300</v>
      </c>
      <c r="D24" s="504">
        <v>490</v>
      </c>
      <c r="E24" s="504">
        <v>330</v>
      </c>
      <c r="F24" s="504">
        <v>600</v>
      </c>
      <c r="G24" s="505">
        <v>650</v>
      </c>
      <c r="H24" s="505">
        <v>1650</v>
      </c>
      <c r="I24" s="512">
        <v>250</v>
      </c>
      <c r="J24" s="512">
        <v>3000</v>
      </c>
      <c r="K24" s="505">
        <f>IF(Input!$D$11&gt;10,297.4,VLOOKUP(Input!$D$11,$A$89:$B$98,2,FALSE))</f>
        <v>297.39999999999998</v>
      </c>
      <c r="L24" s="511">
        <f t="shared" si="0"/>
        <v>500</v>
      </c>
      <c r="M24" s="504">
        <v>350</v>
      </c>
      <c r="N24" s="504">
        <v>300</v>
      </c>
      <c r="O24" s="504">
        <v>700</v>
      </c>
      <c r="P24" s="505">
        <f>320+75.42</f>
        <v>395.42</v>
      </c>
      <c r="Q24" s="512">
        <v>0</v>
      </c>
      <c r="R24" s="512">
        <f>Input!$G$23</f>
        <v>500</v>
      </c>
      <c r="S24" s="512">
        <f>Input!$G$24</f>
        <v>200</v>
      </c>
      <c r="T24" s="512">
        <f>Input!$G$25</f>
        <v>100</v>
      </c>
      <c r="U24" s="512">
        <f>Input!$G$26</f>
        <v>0</v>
      </c>
      <c r="V24" s="512">
        <f>Input!$G$27/Input!$D$19/Input!$D$11</f>
        <v>0</v>
      </c>
    </row>
    <row r="25" spans="1:26">
      <c r="A25" s="506" t="s">
        <v>121</v>
      </c>
      <c r="B25" s="503" t="s">
        <v>114</v>
      </c>
      <c r="C25" s="504">
        <v>300</v>
      </c>
      <c r="D25" s="504">
        <v>490</v>
      </c>
      <c r="E25" s="504">
        <v>330</v>
      </c>
      <c r="F25" s="504">
        <v>600</v>
      </c>
      <c r="G25" s="505">
        <v>650</v>
      </c>
      <c r="H25" s="505">
        <v>1650</v>
      </c>
      <c r="I25" s="512">
        <v>250</v>
      </c>
      <c r="J25" s="512">
        <v>3000</v>
      </c>
      <c r="K25" s="505">
        <f>IF(Input!$D$11&gt;10,297.4,VLOOKUP(Input!$D$11,$A$89:$B$98,2,FALSE))</f>
        <v>297.39999999999998</v>
      </c>
      <c r="L25" s="511">
        <f t="shared" si="0"/>
        <v>500</v>
      </c>
      <c r="M25" s="504">
        <v>350</v>
      </c>
      <c r="N25" s="504">
        <v>300</v>
      </c>
      <c r="O25" s="504">
        <v>700</v>
      </c>
      <c r="P25" s="505">
        <f>320+75.42</f>
        <v>395.42</v>
      </c>
      <c r="Q25" s="512">
        <v>0</v>
      </c>
      <c r="R25" s="512">
        <f>Input!$G$23</f>
        <v>500</v>
      </c>
      <c r="S25" s="512">
        <f>Input!$G$24</f>
        <v>200</v>
      </c>
      <c r="T25" s="512">
        <f>Input!$G$25</f>
        <v>100</v>
      </c>
      <c r="U25" s="512">
        <f>Input!$G$26</f>
        <v>0</v>
      </c>
      <c r="V25" s="512">
        <f>Input!$G$27/Input!$D$19/Input!$D$11</f>
        <v>0</v>
      </c>
    </row>
    <row r="26" spans="1:26">
      <c r="A26" s="503" t="s">
        <v>123</v>
      </c>
      <c r="B26" s="503" t="s">
        <v>122</v>
      </c>
      <c r="C26" s="504">
        <v>750</v>
      </c>
      <c r="D26" s="504">
        <v>4300</v>
      </c>
      <c r="E26" s="507">
        <v>0</v>
      </c>
      <c r="F26" s="504">
        <v>600</v>
      </c>
      <c r="G26" s="505">
        <v>600</v>
      </c>
      <c r="H26" s="505">
        <v>1500</v>
      </c>
      <c r="I26" s="505">
        <v>1200</v>
      </c>
      <c r="J26" s="505">
        <v>2900</v>
      </c>
      <c r="K26" s="505">
        <f>IF(Input!$D$11&gt;10,297.4,VLOOKUP(Input!$D$11,$A$89:$B$98,2,FALSE))</f>
        <v>297.39999999999998</v>
      </c>
      <c r="L26" s="511">
        <f t="shared" si="0"/>
        <v>500</v>
      </c>
      <c r="M26" s="504">
        <v>350</v>
      </c>
      <c r="N26" s="504">
        <v>300</v>
      </c>
      <c r="O26" s="507">
        <v>0</v>
      </c>
      <c r="P26" s="505">
        <v>0</v>
      </c>
      <c r="Q26" s="512">
        <v>0</v>
      </c>
      <c r="R26" s="512">
        <f>Input!$G$23</f>
        <v>500</v>
      </c>
      <c r="S26" s="512">
        <f>Input!$G$24</f>
        <v>200</v>
      </c>
      <c r="T26" s="512">
        <f>Input!$G$25</f>
        <v>100</v>
      </c>
      <c r="U26" s="512">
        <f>Input!$G$26</f>
        <v>0</v>
      </c>
      <c r="V26" s="512">
        <f>Input!$G$27/Input!$D$19/Input!$D$11</f>
        <v>0</v>
      </c>
    </row>
    <row r="27" spans="1:26">
      <c r="A27" s="503" t="s">
        <v>124</v>
      </c>
      <c r="B27" s="503" t="s">
        <v>122</v>
      </c>
      <c r="C27" s="504">
        <v>750</v>
      </c>
      <c r="D27" s="504">
        <v>2500</v>
      </c>
      <c r="E27" s="507">
        <v>0</v>
      </c>
      <c r="F27" s="504">
        <v>600</v>
      </c>
      <c r="G27" s="505">
        <v>600</v>
      </c>
      <c r="H27" s="505">
        <v>1500</v>
      </c>
      <c r="I27" s="505">
        <v>1200</v>
      </c>
      <c r="J27" s="505">
        <v>2200</v>
      </c>
      <c r="K27" s="505">
        <f>IF(Input!$D$11&gt;10,297.4,VLOOKUP(Input!$D$11,$A$89:$B$98,2,FALSE))</f>
        <v>297.39999999999998</v>
      </c>
      <c r="L27" s="511">
        <f t="shared" si="0"/>
        <v>500</v>
      </c>
      <c r="M27" s="504">
        <v>350</v>
      </c>
      <c r="N27" s="504">
        <v>300</v>
      </c>
      <c r="O27" s="507">
        <v>0</v>
      </c>
      <c r="P27" s="505">
        <v>0</v>
      </c>
      <c r="Q27" s="512">
        <v>0</v>
      </c>
      <c r="R27" s="512">
        <f>Input!$G$23</f>
        <v>500</v>
      </c>
      <c r="S27" s="512">
        <f>Input!$G$24</f>
        <v>200</v>
      </c>
      <c r="T27" s="512">
        <f>Input!$G$25</f>
        <v>100</v>
      </c>
      <c r="U27" s="512">
        <f>Input!$G$26</f>
        <v>0</v>
      </c>
      <c r="V27" s="512">
        <f>Input!$G$27/Input!$D$19/Input!$D$11</f>
        <v>0</v>
      </c>
    </row>
    <row r="28" spans="1:26">
      <c r="A28" s="503" t="s">
        <v>125</v>
      </c>
      <c r="B28" s="503" t="s">
        <v>122</v>
      </c>
      <c r="C28" s="504">
        <v>750</v>
      </c>
      <c r="D28" s="504">
        <v>2500</v>
      </c>
      <c r="E28" s="507">
        <v>0</v>
      </c>
      <c r="F28" s="504">
        <v>600</v>
      </c>
      <c r="G28" s="505">
        <v>600</v>
      </c>
      <c r="H28" s="505">
        <v>1500</v>
      </c>
      <c r="I28" s="505">
        <v>1200</v>
      </c>
      <c r="J28" s="505">
        <v>2900</v>
      </c>
      <c r="K28" s="505">
        <f>IF(Input!$D$11&gt;10,297.4,VLOOKUP(Input!$D$11,$A$89:$B$98,2,FALSE))</f>
        <v>297.39999999999998</v>
      </c>
      <c r="L28" s="511">
        <f t="shared" si="0"/>
        <v>500</v>
      </c>
      <c r="M28" s="504">
        <v>350</v>
      </c>
      <c r="N28" s="504">
        <v>300</v>
      </c>
      <c r="O28" s="507">
        <v>0</v>
      </c>
      <c r="P28" s="505">
        <v>0</v>
      </c>
      <c r="Q28" s="512">
        <v>0</v>
      </c>
      <c r="R28" s="512">
        <f>Input!$G$23</f>
        <v>500</v>
      </c>
      <c r="S28" s="512">
        <f>Input!$G$24</f>
        <v>200</v>
      </c>
      <c r="T28" s="512">
        <f>Input!$G$25</f>
        <v>100</v>
      </c>
      <c r="U28" s="512">
        <f>Input!$G$26</f>
        <v>0</v>
      </c>
      <c r="V28" s="512">
        <f>Input!$G$27/Input!$D$19/Input!$D$11</f>
        <v>0</v>
      </c>
    </row>
    <row r="29" spans="1:26">
      <c r="A29" s="503" t="s">
        <v>126</v>
      </c>
      <c r="B29" s="503" t="s">
        <v>122</v>
      </c>
      <c r="C29" s="504">
        <v>750</v>
      </c>
      <c r="D29" s="504">
        <v>2500</v>
      </c>
      <c r="E29" s="507">
        <v>0</v>
      </c>
      <c r="F29" s="504">
        <v>600</v>
      </c>
      <c r="G29" s="505">
        <v>600</v>
      </c>
      <c r="H29" s="505">
        <v>1500</v>
      </c>
      <c r="I29" s="505">
        <v>1200</v>
      </c>
      <c r="J29" s="505">
        <v>2900</v>
      </c>
      <c r="K29" s="505">
        <f>IF(Input!$D$11&gt;10,297.4,VLOOKUP(Input!$D$11,$A$89:$B$98,2,FALSE))</f>
        <v>297.39999999999998</v>
      </c>
      <c r="L29" s="511">
        <f t="shared" si="0"/>
        <v>500</v>
      </c>
      <c r="M29" s="504">
        <v>350</v>
      </c>
      <c r="N29" s="504">
        <v>300</v>
      </c>
      <c r="O29" s="507">
        <v>0</v>
      </c>
      <c r="P29" s="505">
        <v>0</v>
      </c>
      <c r="Q29" s="512">
        <v>0</v>
      </c>
      <c r="R29" s="512">
        <f>Input!$G$23</f>
        <v>500</v>
      </c>
      <c r="S29" s="512">
        <f>Input!$G$24</f>
        <v>200</v>
      </c>
      <c r="T29" s="512">
        <f>Input!$G$25</f>
        <v>100</v>
      </c>
      <c r="U29" s="512">
        <f>Input!$G$26</f>
        <v>0</v>
      </c>
      <c r="V29" s="512">
        <f>Input!$G$27/Input!$D$19/Input!$D$11</f>
        <v>0</v>
      </c>
    </row>
    <row r="30" spans="1:26">
      <c r="A30" s="503" t="s">
        <v>127</v>
      </c>
      <c r="B30" s="503" t="s">
        <v>122</v>
      </c>
      <c r="C30" s="504">
        <v>750</v>
      </c>
      <c r="D30" s="504">
        <v>0</v>
      </c>
      <c r="E30" s="507">
        <v>0</v>
      </c>
      <c r="F30" s="504">
        <v>600</v>
      </c>
      <c r="G30" s="505">
        <v>600</v>
      </c>
      <c r="H30" s="505">
        <v>1500</v>
      </c>
      <c r="I30" s="505">
        <v>1450</v>
      </c>
      <c r="J30" s="505">
        <v>4500</v>
      </c>
      <c r="K30" s="505">
        <f>IF(Input!$D$11&gt;10,297.4,VLOOKUP(Input!$D$11,$A$89:$B$98,2,FALSE))</f>
        <v>297.39999999999998</v>
      </c>
      <c r="L30" s="511">
        <f t="shared" si="0"/>
        <v>500</v>
      </c>
      <c r="M30" s="504">
        <v>350</v>
      </c>
      <c r="N30" s="504">
        <v>300</v>
      </c>
      <c r="O30" s="507">
        <v>0</v>
      </c>
      <c r="P30" s="505">
        <v>0</v>
      </c>
      <c r="Q30" s="512">
        <v>0</v>
      </c>
      <c r="R30" s="512">
        <f>Input!$G$23</f>
        <v>500</v>
      </c>
      <c r="S30" s="512">
        <f>Input!$G$24</f>
        <v>200</v>
      </c>
      <c r="T30" s="512">
        <f>Input!$G$25</f>
        <v>100</v>
      </c>
      <c r="U30" s="512">
        <f>Input!$G$26</f>
        <v>0</v>
      </c>
      <c r="V30" s="512">
        <f>Input!$G$27/Input!$D$19/Input!$D$11</f>
        <v>0</v>
      </c>
    </row>
    <row r="31" spans="1:26">
      <c r="A31" s="503" t="s">
        <v>128</v>
      </c>
      <c r="B31" s="503" t="s">
        <v>122</v>
      </c>
      <c r="C31" s="504">
        <v>750</v>
      </c>
      <c r="D31" s="504">
        <v>0</v>
      </c>
      <c r="E31" s="507">
        <v>0</v>
      </c>
      <c r="F31" s="504">
        <v>600</v>
      </c>
      <c r="G31" s="505">
        <v>600</v>
      </c>
      <c r="H31" s="505">
        <v>1500</v>
      </c>
      <c r="I31" s="505">
        <v>1450</v>
      </c>
      <c r="J31" s="505">
        <v>3400</v>
      </c>
      <c r="K31" s="505">
        <f>IF(Input!$D$11&gt;10,297.4,VLOOKUP(Input!$D$11,$A$89:$B$98,2,FALSE))</f>
        <v>297.39999999999998</v>
      </c>
      <c r="L31" s="511">
        <f t="shared" si="0"/>
        <v>500</v>
      </c>
      <c r="M31" s="504">
        <v>350</v>
      </c>
      <c r="N31" s="504">
        <v>300</v>
      </c>
      <c r="O31" s="507">
        <v>0</v>
      </c>
      <c r="P31" s="505">
        <v>0</v>
      </c>
      <c r="Q31" s="512">
        <v>0</v>
      </c>
      <c r="R31" s="512">
        <f>Input!$G$23</f>
        <v>500</v>
      </c>
      <c r="S31" s="512">
        <f>Input!$G$24</f>
        <v>200</v>
      </c>
      <c r="T31" s="512">
        <f>Input!$G$25</f>
        <v>100</v>
      </c>
      <c r="U31" s="512">
        <f>Input!$G$26</f>
        <v>0</v>
      </c>
      <c r="V31" s="512">
        <f>Input!$G$27/Input!$D$19/Input!$D$11</f>
        <v>0</v>
      </c>
    </row>
    <row r="32" spans="1:26">
      <c r="A32" s="503" t="s">
        <v>129</v>
      </c>
      <c r="B32" s="503" t="s">
        <v>122</v>
      </c>
      <c r="C32" s="504">
        <v>750</v>
      </c>
      <c r="D32" s="504">
        <v>4900</v>
      </c>
      <c r="E32" s="507">
        <v>0</v>
      </c>
      <c r="F32" s="504">
        <v>600</v>
      </c>
      <c r="G32" s="505">
        <v>600</v>
      </c>
      <c r="H32" s="505">
        <v>1500</v>
      </c>
      <c r="I32" s="505">
        <v>1200</v>
      </c>
      <c r="J32" s="505">
        <v>3600</v>
      </c>
      <c r="K32" s="505">
        <f>IF(Input!$D$11&gt;10,297.4,VLOOKUP(Input!$D$11,$A$89:$B$98,2,FALSE))</f>
        <v>297.39999999999998</v>
      </c>
      <c r="L32" s="511">
        <f t="shared" si="0"/>
        <v>500</v>
      </c>
      <c r="M32" s="504">
        <v>350</v>
      </c>
      <c r="N32" s="504">
        <v>300</v>
      </c>
      <c r="O32" s="507">
        <v>0</v>
      </c>
      <c r="P32" s="505">
        <v>0</v>
      </c>
      <c r="Q32" s="512">
        <v>0</v>
      </c>
      <c r="R32" s="512">
        <f>Input!$G$23</f>
        <v>500</v>
      </c>
      <c r="S32" s="512">
        <f>Input!$G$24</f>
        <v>200</v>
      </c>
      <c r="T32" s="512">
        <f>Input!$G$25</f>
        <v>100</v>
      </c>
      <c r="U32" s="512">
        <f>Input!$G$26</f>
        <v>0</v>
      </c>
      <c r="V32" s="512">
        <f>Input!$G$27/Input!$D$19/Input!$D$11</f>
        <v>0</v>
      </c>
    </row>
    <row r="33" spans="1:26">
      <c r="A33" s="503" t="s">
        <v>131</v>
      </c>
      <c r="B33" s="503" t="s">
        <v>130</v>
      </c>
      <c r="C33" s="504">
        <v>750</v>
      </c>
      <c r="D33" s="504">
        <v>2500</v>
      </c>
      <c r="E33" s="507">
        <v>0</v>
      </c>
      <c r="F33" s="504">
        <v>600</v>
      </c>
      <c r="G33" s="505">
        <v>600</v>
      </c>
      <c r="H33" s="505">
        <v>1500</v>
      </c>
      <c r="I33" s="505">
        <v>1200</v>
      </c>
      <c r="J33" s="505">
        <v>1900</v>
      </c>
      <c r="K33" s="505">
        <f>IF(Input!$D$11&gt;10,297.4,VLOOKUP(Input!$D$11,$A$89:$B$98,2,FALSE))</f>
        <v>297.39999999999998</v>
      </c>
      <c r="L33" s="511">
        <f t="shared" si="0"/>
        <v>500</v>
      </c>
      <c r="M33" s="504">
        <v>350</v>
      </c>
      <c r="N33" s="504">
        <v>300</v>
      </c>
      <c r="O33" s="507">
        <v>0</v>
      </c>
      <c r="P33" s="505">
        <v>0</v>
      </c>
      <c r="Q33" s="512">
        <v>1750</v>
      </c>
      <c r="R33" s="512">
        <f>Input!$G$23</f>
        <v>500</v>
      </c>
      <c r="S33" s="512">
        <f>Input!$G$24</f>
        <v>200</v>
      </c>
      <c r="T33" s="512">
        <f>Input!$G$25</f>
        <v>100</v>
      </c>
      <c r="U33" s="512">
        <f>Input!$G$26</f>
        <v>0</v>
      </c>
      <c r="V33" s="512">
        <f>Input!$G$27/Input!$D$19/Input!$D$11</f>
        <v>0</v>
      </c>
    </row>
    <row r="34" spans="1:26">
      <c r="A34" s="503" t="s">
        <v>132</v>
      </c>
      <c r="B34" s="503" t="s">
        <v>130</v>
      </c>
      <c r="C34" s="504">
        <v>750</v>
      </c>
      <c r="D34" s="504">
        <v>2500</v>
      </c>
      <c r="E34" s="507">
        <v>0</v>
      </c>
      <c r="F34" s="504">
        <v>600</v>
      </c>
      <c r="G34" s="505">
        <v>600</v>
      </c>
      <c r="H34" s="505">
        <v>1500</v>
      </c>
      <c r="I34" s="505">
        <v>1050</v>
      </c>
      <c r="J34" s="505">
        <v>3600</v>
      </c>
      <c r="K34" s="505">
        <f>IF(Input!$D$11&gt;10,297.4,VLOOKUP(Input!$D$11,$A$89:$B$98,2,FALSE))</f>
        <v>297.39999999999998</v>
      </c>
      <c r="L34" s="511">
        <f t="shared" si="0"/>
        <v>500</v>
      </c>
      <c r="M34" s="504">
        <v>350</v>
      </c>
      <c r="N34" s="504">
        <v>300</v>
      </c>
      <c r="O34" s="507">
        <v>0</v>
      </c>
      <c r="P34" s="505">
        <v>0</v>
      </c>
      <c r="Q34" s="512">
        <v>1750</v>
      </c>
      <c r="R34" s="512">
        <f>Input!$G$23</f>
        <v>500</v>
      </c>
      <c r="S34" s="512">
        <f>Input!$G$24</f>
        <v>200</v>
      </c>
      <c r="T34" s="512">
        <f>Input!$G$25</f>
        <v>100</v>
      </c>
      <c r="U34" s="512">
        <f>Input!$G$26</f>
        <v>0</v>
      </c>
      <c r="V34" s="512">
        <f>Input!$G$27/Input!$D$19/Input!$D$11</f>
        <v>0</v>
      </c>
    </row>
    <row r="35" spans="1:26">
      <c r="A35" s="503" t="s">
        <v>133</v>
      </c>
      <c r="B35" s="503" t="s">
        <v>130</v>
      </c>
      <c r="C35" s="504">
        <v>750</v>
      </c>
      <c r="D35" s="504">
        <v>2500</v>
      </c>
      <c r="E35" s="507">
        <v>0</v>
      </c>
      <c r="F35" s="504">
        <v>600</v>
      </c>
      <c r="G35" s="505">
        <v>600</v>
      </c>
      <c r="H35" s="505">
        <v>1500</v>
      </c>
      <c r="I35" s="505">
        <v>1200</v>
      </c>
      <c r="J35" s="505">
        <v>4800</v>
      </c>
      <c r="K35" s="505">
        <f>IF(Input!$D$11&gt;10,297.4,VLOOKUP(Input!$D$11,$A$89:$B$98,2,FALSE))</f>
        <v>297.39999999999998</v>
      </c>
      <c r="L35" s="511">
        <f t="shared" si="0"/>
        <v>500</v>
      </c>
      <c r="M35" s="504">
        <v>350</v>
      </c>
      <c r="N35" s="504">
        <v>300</v>
      </c>
      <c r="O35" s="507">
        <v>0</v>
      </c>
      <c r="P35" s="505">
        <v>0</v>
      </c>
      <c r="Q35" s="512">
        <v>1750</v>
      </c>
      <c r="R35" s="512">
        <f>Input!$G$23</f>
        <v>500</v>
      </c>
      <c r="S35" s="512">
        <f>Input!$G$24</f>
        <v>200</v>
      </c>
      <c r="T35" s="512">
        <f>Input!$G$25</f>
        <v>100</v>
      </c>
      <c r="U35" s="512">
        <f>Input!$G$26</f>
        <v>0</v>
      </c>
      <c r="V35" s="512">
        <f>Input!$G$27/Input!$D$19/Input!$D$11</f>
        <v>0</v>
      </c>
    </row>
    <row r="36" spans="1:26">
      <c r="A36" s="503" t="s">
        <v>134</v>
      </c>
      <c r="B36" s="503" t="s">
        <v>130</v>
      </c>
      <c r="C36" s="504">
        <v>750</v>
      </c>
      <c r="D36" s="504">
        <v>0</v>
      </c>
      <c r="E36" s="507">
        <v>0</v>
      </c>
      <c r="F36" s="504">
        <v>600</v>
      </c>
      <c r="G36" s="505">
        <v>600</v>
      </c>
      <c r="H36" s="505">
        <v>1500</v>
      </c>
      <c r="I36" s="505">
        <v>1750</v>
      </c>
      <c r="J36" s="505">
        <v>4800</v>
      </c>
      <c r="K36" s="505">
        <f>IF(Input!$D$11&gt;10,297.4,VLOOKUP(Input!$D$11,$A$89:$B$98,2,FALSE))</f>
        <v>297.39999999999998</v>
      </c>
      <c r="L36" s="511">
        <f t="shared" si="0"/>
        <v>500</v>
      </c>
      <c r="M36" s="504">
        <v>350</v>
      </c>
      <c r="N36" s="504">
        <v>300</v>
      </c>
      <c r="O36" s="507">
        <v>0</v>
      </c>
      <c r="P36" s="505">
        <v>0</v>
      </c>
      <c r="Q36" s="512">
        <v>1750</v>
      </c>
      <c r="R36" s="512">
        <f>Input!$G$23</f>
        <v>500</v>
      </c>
      <c r="S36" s="512">
        <f>Input!$G$24</f>
        <v>200</v>
      </c>
      <c r="T36" s="512">
        <f>Input!$G$25</f>
        <v>100</v>
      </c>
      <c r="U36" s="512">
        <f>Input!$G$26</f>
        <v>0</v>
      </c>
      <c r="V36" s="512">
        <f>Input!$G$27/Input!$D$19/Input!$D$11</f>
        <v>0</v>
      </c>
    </row>
    <row r="37" spans="1:26">
      <c r="A37" s="503" t="s">
        <v>135</v>
      </c>
      <c r="B37" s="503" t="s">
        <v>130</v>
      </c>
      <c r="C37" s="504">
        <v>750</v>
      </c>
      <c r="D37" s="504">
        <v>0</v>
      </c>
      <c r="E37" s="507">
        <v>0</v>
      </c>
      <c r="F37" s="504">
        <v>600</v>
      </c>
      <c r="G37" s="505">
        <v>600</v>
      </c>
      <c r="H37" s="505">
        <v>1500</v>
      </c>
      <c r="I37" s="505">
        <v>1750</v>
      </c>
      <c r="J37" s="505">
        <v>4800</v>
      </c>
      <c r="K37" s="505">
        <f>IF(Input!$D$11&gt;10,297.4,VLOOKUP(Input!$D$11,$A$89:$B$98,2,FALSE))</f>
        <v>297.39999999999998</v>
      </c>
      <c r="L37" s="511">
        <f t="shared" si="0"/>
        <v>500</v>
      </c>
      <c r="M37" s="504">
        <v>350</v>
      </c>
      <c r="N37" s="504">
        <v>300</v>
      </c>
      <c r="O37" s="507">
        <v>0</v>
      </c>
      <c r="P37" s="505">
        <v>0</v>
      </c>
      <c r="Q37" s="512">
        <v>1500</v>
      </c>
      <c r="R37" s="512">
        <f>Input!$G$23</f>
        <v>500</v>
      </c>
      <c r="S37" s="512">
        <f>Input!$G$24</f>
        <v>200</v>
      </c>
      <c r="T37" s="512">
        <f>Input!$G$25</f>
        <v>100</v>
      </c>
      <c r="U37" s="512">
        <f>Input!$G$26</f>
        <v>0</v>
      </c>
      <c r="V37" s="512">
        <f>Input!$G$27/Input!$D$19/Input!$D$11</f>
        <v>0</v>
      </c>
    </row>
    <row r="38" spans="1:26">
      <c r="A38" s="503" t="s">
        <v>136</v>
      </c>
      <c r="B38" s="503" t="s">
        <v>130</v>
      </c>
      <c r="C38" s="504">
        <v>750</v>
      </c>
      <c r="D38" s="504">
        <v>0</v>
      </c>
      <c r="E38" s="507">
        <v>0</v>
      </c>
      <c r="F38" s="504">
        <v>600</v>
      </c>
      <c r="G38" s="505">
        <v>600</v>
      </c>
      <c r="H38" s="505">
        <v>1500</v>
      </c>
      <c r="I38" s="505">
        <v>1750</v>
      </c>
      <c r="J38" s="505">
        <v>5100</v>
      </c>
      <c r="K38" s="505">
        <f>IF(Input!$D$11&gt;10,297.4,VLOOKUP(Input!$D$11,$A$89:$B$98,2,FALSE))</f>
        <v>297.39999999999998</v>
      </c>
      <c r="L38" s="511">
        <f t="shared" si="0"/>
        <v>500</v>
      </c>
      <c r="M38" s="504">
        <v>350</v>
      </c>
      <c r="N38" s="504">
        <v>300</v>
      </c>
      <c r="O38" s="507">
        <v>0</v>
      </c>
      <c r="P38" s="505">
        <v>0</v>
      </c>
      <c r="Q38" s="512">
        <v>1500</v>
      </c>
      <c r="R38" s="512">
        <f>Input!$G$23</f>
        <v>500</v>
      </c>
      <c r="S38" s="512">
        <f>Input!$G$24</f>
        <v>200</v>
      </c>
      <c r="T38" s="512">
        <f>Input!$G$25</f>
        <v>100</v>
      </c>
      <c r="U38" s="512">
        <f>Input!$G$26</f>
        <v>0</v>
      </c>
      <c r="V38" s="512">
        <f>Input!$G$27/Input!$D$19/Input!$D$11</f>
        <v>0</v>
      </c>
    </row>
    <row r="39" spans="1:26">
      <c r="A39" s="503" t="s">
        <v>137</v>
      </c>
      <c r="B39" s="503" t="s">
        <v>122</v>
      </c>
      <c r="C39" s="504">
        <v>750</v>
      </c>
      <c r="D39" s="504">
        <v>0</v>
      </c>
      <c r="E39" s="507">
        <v>0</v>
      </c>
      <c r="F39" s="504">
        <v>600</v>
      </c>
      <c r="G39" s="505">
        <v>600</v>
      </c>
      <c r="H39" s="505">
        <v>1500</v>
      </c>
      <c r="I39" s="505">
        <v>1750</v>
      </c>
      <c r="J39" s="505">
        <v>5100</v>
      </c>
      <c r="K39" s="505">
        <f>IF(Input!$D$11&gt;10,297.4,VLOOKUP(Input!$D$11,$A$89:$B$98,2,FALSE))</f>
        <v>297.39999999999998</v>
      </c>
      <c r="L39" s="511">
        <f t="shared" si="0"/>
        <v>500</v>
      </c>
      <c r="M39" s="504">
        <v>350</v>
      </c>
      <c r="N39" s="504">
        <v>300</v>
      </c>
      <c r="O39" s="507">
        <v>0</v>
      </c>
      <c r="P39" s="505">
        <v>0</v>
      </c>
      <c r="Q39" s="512">
        <v>1500</v>
      </c>
      <c r="R39" s="512">
        <f>Input!$G$23</f>
        <v>500</v>
      </c>
      <c r="S39" s="512">
        <f>Input!$G$24</f>
        <v>200</v>
      </c>
      <c r="T39" s="512">
        <f>Input!$G$25</f>
        <v>100</v>
      </c>
      <c r="U39" s="512">
        <f>Input!$G$26</f>
        <v>0</v>
      </c>
      <c r="V39" s="512">
        <f>Input!$G$27/Input!$D$19/Input!$D$11</f>
        <v>0</v>
      </c>
    </row>
    <row r="40" spans="1:26">
      <c r="A40" s="503" t="s">
        <v>138</v>
      </c>
      <c r="B40" s="503" t="s">
        <v>122</v>
      </c>
      <c r="C40" s="504">
        <v>750</v>
      </c>
      <c r="D40" s="504">
        <v>0</v>
      </c>
      <c r="E40" s="507">
        <v>0</v>
      </c>
      <c r="F40" s="504">
        <v>600</v>
      </c>
      <c r="G40" s="505">
        <v>600</v>
      </c>
      <c r="H40" s="505">
        <v>1500</v>
      </c>
      <c r="I40" s="505">
        <v>1750</v>
      </c>
      <c r="J40" s="505">
        <v>4300</v>
      </c>
      <c r="K40" s="505">
        <f>IF(Input!$D$11&gt;10,297.4,VLOOKUP(Input!$D$11,$A$89:$B$98,2,FALSE))</f>
        <v>297.39999999999998</v>
      </c>
      <c r="L40" s="511">
        <f t="shared" si="0"/>
        <v>500</v>
      </c>
      <c r="M40" s="504">
        <v>350</v>
      </c>
      <c r="N40" s="504">
        <v>300</v>
      </c>
      <c r="O40" s="507">
        <v>0</v>
      </c>
      <c r="P40" s="505">
        <v>0</v>
      </c>
      <c r="Q40" s="512">
        <v>1500</v>
      </c>
      <c r="R40" s="512">
        <f>Input!$G$23</f>
        <v>500</v>
      </c>
      <c r="S40" s="512">
        <f>Input!$G$24</f>
        <v>200</v>
      </c>
      <c r="T40" s="512">
        <f>Input!$G$25</f>
        <v>100</v>
      </c>
      <c r="U40" s="512">
        <f>Input!$G$26</f>
        <v>0</v>
      </c>
      <c r="V40" s="512">
        <f>Input!$G$27/Input!$D$19/Input!$D$11</f>
        <v>0</v>
      </c>
    </row>
    <row r="41" spans="1:26">
      <c r="A41" s="503" t="s">
        <v>139</v>
      </c>
      <c r="B41" s="503" t="s">
        <v>122</v>
      </c>
      <c r="C41" s="504">
        <v>750</v>
      </c>
      <c r="D41" s="504">
        <v>4900</v>
      </c>
      <c r="E41" s="507">
        <v>0</v>
      </c>
      <c r="F41" s="504">
        <v>600</v>
      </c>
      <c r="G41" s="505">
        <v>600</v>
      </c>
      <c r="H41" s="505">
        <v>1500</v>
      </c>
      <c r="I41" s="505">
        <v>1450</v>
      </c>
      <c r="J41" s="505">
        <v>3300</v>
      </c>
      <c r="K41" s="505">
        <f>IF(Input!$D$11&gt;10,297.4,VLOOKUP(Input!$D$11,$A$89:$B$98,2,FALSE))</f>
        <v>297.39999999999998</v>
      </c>
      <c r="L41" s="511">
        <f t="shared" si="0"/>
        <v>500</v>
      </c>
      <c r="M41" s="504">
        <v>350</v>
      </c>
      <c r="N41" s="504">
        <v>300</v>
      </c>
      <c r="O41" s="507">
        <v>0</v>
      </c>
      <c r="P41" s="505">
        <v>0</v>
      </c>
      <c r="Q41" s="512">
        <v>0</v>
      </c>
      <c r="R41" s="512">
        <f>Input!$G$23</f>
        <v>500</v>
      </c>
      <c r="S41" s="512">
        <f>Input!$G$24</f>
        <v>200</v>
      </c>
      <c r="T41" s="512">
        <f>Input!$G$25</f>
        <v>100</v>
      </c>
      <c r="U41" s="512">
        <f>Input!$G$26</f>
        <v>0</v>
      </c>
      <c r="V41" s="512">
        <f>Input!$G$27/Input!$D$19/Input!$D$11</f>
        <v>0</v>
      </c>
    </row>
    <row r="42" spans="1:26">
      <c r="A42" s="503" t="s">
        <v>140</v>
      </c>
      <c r="B42" s="503" t="s">
        <v>122</v>
      </c>
      <c r="C42" s="504">
        <v>750</v>
      </c>
      <c r="D42" s="504">
        <v>4900</v>
      </c>
      <c r="E42" s="507">
        <v>0</v>
      </c>
      <c r="F42" s="504">
        <v>600</v>
      </c>
      <c r="G42" s="505">
        <v>600</v>
      </c>
      <c r="H42" s="505">
        <v>1500</v>
      </c>
      <c r="I42" s="505">
        <v>1200</v>
      </c>
      <c r="J42" s="505">
        <v>3600</v>
      </c>
      <c r="K42" s="505">
        <f>IF(Input!$D$11&gt;10,297.4,VLOOKUP(Input!$D$11,$A$89:$B$98,2,FALSE))</f>
        <v>297.39999999999998</v>
      </c>
      <c r="L42" s="511">
        <f t="shared" si="0"/>
        <v>500</v>
      </c>
      <c r="M42" s="504">
        <v>350</v>
      </c>
      <c r="N42" s="504">
        <v>300</v>
      </c>
      <c r="O42" s="507">
        <v>0</v>
      </c>
      <c r="P42" s="505">
        <v>0</v>
      </c>
      <c r="Q42" s="512">
        <v>0</v>
      </c>
      <c r="R42" s="512">
        <f>Input!$G$23</f>
        <v>500</v>
      </c>
      <c r="S42" s="512">
        <f>Input!$G$24</f>
        <v>200</v>
      </c>
      <c r="T42" s="512">
        <f>Input!$G$25</f>
        <v>100</v>
      </c>
      <c r="U42" s="512">
        <f>Input!$G$26</f>
        <v>0</v>
      </c>
      <c r="V42" s="512">
        <f>Input!$G$27/Input!$D$19/Input!$D$11</f>
        <v>0</v>
      </c>
    </row>
    <row r="43" spans="1:26">
      <c r="A43" s="503" t="s">
        <v>141</v>
      </c>
      <c r="B43" s="503" t="s">
        <v>122</v>
      </c>
      <c r="C43" s="504">
        <v>750</v>
      </c>
      <c r="D43" s="504">
        <v>4900</v>
      </c>
      <c r="E43" s="507">
        <v>0</v>
      </c>
      <c r="F43" s="504">
        <v>600</v>
      </c>
      <c r="G43" s="505">
        <v>600</v>
      </c>
      <c r="H43" s="505">
        <v>1500</v>
      </c>
      <c r="I43" s="505">
        <v>1200</v>
      </c>
      <c r="J43" s="505">
        <v>2200</v>
      </c>
      <c r="K43" s="505">
        <f>IF(Input!$D$11&gt;10,297.4,VLOOKUP(Input!$D$11,$A$89:$B$98,2,FALSE))</f>
        <v>297.39999999999998</v>
      </c>
      <c r="L43" s="511">
        <f t="shared" si="0"/>
        <v>500</v>
      </c>
      <c r="M43" s="504">
        <v>350</v>
      </c>
      <c r="N43" s="504">
        <v>300</v>
      </c>
      <c r="O43" s="507">
        <v>0</v>
      </c>
      <c r="P43" s="505">
        <v>0</v>
      </c>
      <c r="Q43" s="512">
        <v>0</v>
      </c>
      <c r="R43" s="512">
        <f>Input!$G$23</f>
        <v>500</v>
      </c>
      <c r="S43" s="512">
        <f>Input!$G$24</f>
        <v>200</v>
      </c>
      <c r="T43" s="512">
        <f>Input!$G$25</f>
        <v>100</v>
      </c>
      <c r="U43" s="512">
        <f>Input!$G$26</f>
        <v>0</v>
      </c>
      <c r="V43" s="512">
        <f>Input!$G$27/Input!$D$19/Input!$D$11</f>
        <v>0</v>
      </c>
      <c r="Y43" s="431"/>
      <c r="Z43" s="431"/>
    </row>
    <row r="44" spans="1:26">
      <c r="A44" s="503" t="s">
        <v>143</v>
      </c>
      <c r="B44" s="503" t="s">
        <v>142</v>
      </c>
      <c r="C44" s="504">
        <v>750</v>
      </c>
      <c r="D44" s="504">
        <v>2500</v>
      </c>
      <c r="E44" s="507">
        <v>0</v>
      </c>
      <c r="F44" s="504">
        <v>600</v>
      </c>
      <c r="G44" s="505">
        <v>600</v>
      </c>
      <c r="H44" s="505">
        <v>1500</v>
      </c>
      <c r="I44" s="505">
        <v>1200</v>
      </c>
      <c r="J44" s="505">
        <v>2200</v>
      </c>
      <c r="K44" s="505">
        <f>IF(Input!$D$11&gt;10,297.4,VLOOKUP(Input!$D$11,$A$89:$B$98,2,FALSE))</f>
        <v>297.39999999999998</v>
      </c>
      <c r="L44" s="511">
        <f t="shared" si="0"/>
        <v>500</v>
      </c>
      <c r="M44" s="504">
        <v>350</v>
      </c>
      <c r="N44" s="504">
        <v>300</v>
      </c>
      <c r="O44" s="507">
        <v>0</v>
      </c>
      <c r="P44" s="505">
        <v>0</v>
      </c>
      <c r="Q44" s="512">
        <v>0</v>
      </c>
      <c r="R44" s="512">
        <f>Input!$G$23</f>
        <v>500</v>
      </c>
      <c r="S44" s="512">
        <f>Input!$G$24</f>
        <v>200</v>
      </c>
      <c r="T44" s="512">
        <f>Input!$G$25</f>
        <v>100</v>
      </c>
      <c r="U44" s="512">
        <f>Input!$G$26</f>
        <v>0</v>
      </c>
      <c r="V44" s="512">
        <f>Input!$G$27/Input!$D$19/Input!$D$11</f>
        <v>0</v>
      </c>
      <c r="Y44" s="524"/>
      <c r="Z44" s="524"/>
    </row>
    <row r="45" spans="1:26">
      <c r="A45" s="503" t="s">
        <v>144</v>
      </c>
      <c r="B45" s="503" t="s">
        <v>142</v>
      </c>
      <c r="C45" s="504">
        <v>750</v>
      </c>
      <c r="D45" s="504">
        <v>2500</v>
      </c>
      <c r="E45" s="507">
        <v>0</v>
      </c>
      <c r="F45" s="504">
        <v>600</v>
      </c>
      <c r="G45" s="505">
        <v>600</v>
      </c>
      <c r="H45" s="505">
        <v>1500</v>
      </c>
      <c r="I45" s="505">
        <v>1200</v>
      </c>
      <c r="J45" s="505">
        <v>2200</v>
      </c>
      <c r="K45" s="505">
        <f>IF(Input!$D$11&gt;10,297.4,VLOOKUP(Input!$D$11,$A$89:$B$98,2,FALSE))</f>
        <v>297.39999999999998</v>
      </c>
      <c r="L45" s="511">
        <f t="shared" si="0"/>
        <v>500</v>
      </c>
      <c r="M45" s="504">
        <v>350</v>
      </c>
      <c r="N45" s="504">
        <v>300</v>
      </c>
      <c r="O45" s="507">
        <v>0</v>
      </c>
      <c r="P45" s="505">
        <v>0</v>
      </c>
      <c r="Q45" s="512">
        <v>0</v>
      </c>
      <c r="R45" s="512">
        <f>Input!$G$23</f>
        <v>500</v>
      </c>
      <c r="S45" s="512">
        <f>Input!$G$24</f>
        <v>200</v>
      </c>
      <c r="T45" s="512">
        <f>Input!$G$25</f>
        <v>100</v>
      </c>
      <c r="U45" s="512">
        <f>Input!$G$26</f>
        <v>0</v>
      </c>
      <c r="V45" s="512">
        <f>Input!$G$27/Input!$D$19/Input!$D$11</f>
        <v>0</v>
      </c>
      <c r="Y45" s="524"/>
      <c r="Z45" s="524"/>
    </row>
    <row r="46" spans="1:26">
      <c r="A46" s="503" t="s">
        <v>145</v>
      </c>
      <c r="B46" s="503" t="s">
        <v>142</v>
      </c>
      <c r="C46" s="504">
        <v>750</v>
      </c>
      <c r="D46" s="504">
        <v>2500</v>
      </c>
      <c r="E46" s="507">
        <v>0</v>
      </c>
      <c r="F46" s="504">
        <v>600</v>
      </c>
      <c r="G46" s="505">
        <v>600</v>
      </c>
      <c r="H46" s="505">
        <v>1500</v>
      </c>
      <c r="I46" s="505">
        <v>1200</v>
      </c>
      <c r="J46" s="505">
        <v>2200</v>
      </c>
      <c r="K46" s="505">
        <f>IF(Input!$D$11&gt;10,297.4,VLOOKUP(Input!$D$11,$A$89:$B$98,2,FALSE))</f>
        <v>297.39999999999998</v>
      </c>
      <c r="L46" s="511">
        <f t="shared" si="0"/>
        <v>500</v>
      </c>
      <c r="M46" s="504">
        <v>350</v>
      </c>
      <c r="N46" s="504">
        <v>300</v>
      </c>
      <c r="O46" s="507">
        <v>0</v>
      </c>
      <c r="P46" s="505">
        <v>0</v>
      </c>
      <c r="Q46" s="512">
        <v>0</v>
      </c>
      <c r="R46" s="512">
        <f>Input!$G$23</f>
        <v>500</v>
      </c>
      <c r="S46" s="512">
        <f>Input!$G$24</f>
        <v>200</v>
      </c>
      <c r="T46" s="512">
        <f>Input!$G$25</f>
        <v>100</v>
      </c>
      <c r="U46" s="512">
        <f>Input!$G$26</f>
        <v>0</v>
      </c>
      <c r="V46" s="512">
        <f>Input!$G$27/Input!$D$19/Input!$D$11</f>
        <v>0</v>
      </c>
      <c r="Y46" s="524"/>
      <c r="Z46" s="524"/>
    </row>
    <row r="47" spans="1:26">
      <c r="A47" s="503" t="s">
        <v>800</v>
      </c>
      <c r="B47" s="503" t="s">
        <v>142</v>
      </c>
      <c r="C47" s="504">
        <v>750</v>
      </c>
      <c r="D47" s="504">
        <v>4900</v>
      </c>
      <c r="E47" s="507">
        <v>0</v>
      </c>
      <c r="F47" s="504">
        <v>600</v>
      </c>
      <c r="G47" s="505">
        <v>600</v>
      </c>
      <c r="H47" s="505">
        <v>1500</v>
      </c>
      <c r="I47" s="505">
        <v>1200</v>
      </c>
      <c r="J47" s="505">
        <v>2200</v>
      </c>
      <c r="K47" s="505">
        <f>IF([3]Input!$D$11&gt;10,297.4,VLOOKUP([3]Input!$D$11,$A$90:$B$99,2,FALSE))</f>
        <v>297.39999999999998</v>
      </c>
      <c r="L47" s="511">
        <f t="shared" si="0"/>
        <v>500</v>
      </c>
      <c r="M47" s="504">
        <v>350</v>
      </c>
      <c r="N47" s="504">
        <v>300</v>
      </c>
      <c r="O47" s="507">
        <v>0</v>
      </c>
      <c r="P47" s="505">
        <v>0</v>
      </c>
      <c r="Q47" s="512">
        <v>0</v>
      </c>
      <c r="R47" s="512">
        <f>Input!$G$23</f>
        <v>500</v>
      </c>
      <c r="S47" s="512">
        <f>Input!$G$24</f>
        <v>200</v>
      </c>
      <c r="T47" s="512">
        <f>Input!$G$25</f>
        <v>100</v>
      </c>
      <c r="U47" s="512">
        <f>Input!$G$26</f>
        <v>0</v>
      </c>
      <c r="V47" s="512">
        <f>Input!$G$27/Input!$D$19/Input!$D$11</f>
        <v>0</v>
      </c>
      <c r="Y47" s="524"/>
      <c r="Z47" s="524"/>
    </row>
    <row r="48" spans="1:26">
      <c r="A48" s="503" t="s">
        <v>146</v>
      </c>
      <c r="B48" s="503" t="s">
        <v>142</v>
      </c>
      <c r="C48" s="504">
        <v>750</v>
      </c>
      <c r="D48" s="504">
        <v>2500</v>
      </c>
      <c r="E48" s="507">
        <v>0</v>
      </c>
      <c r="F48" s="504">
        <v>600</v>
      </c>
      <c r="G48" s="505">
        <v>600</v>
      </c>
      <c r="H48" s="505">
        <v>1500</v>
      </c>
      <c r="I48" s="505">
        <v>1200</v>
      </c>
      <c r="J48" s="505">
        <v>2200</v>
      </c>
      <c r="K48" s="505">
        <f>IF(Input!$D$11&gt;10,297.4,VLOOKUP(Input!$D$11,$A$89:$B$98,2,FALSE))</f>
        <v>297.39999999999998</v>
      </c>
      <c r="L48" s="511">
        <f t="shared" si="0"/>
        <v>500</v>
      </c>
      <c r="M48" s="504">
        <v>350</v>
      </c>
      <c r="N48" s="504">
        <v>300</v>
      </c>
      <c r="O48" s="507">
        <v>0</v>
      </c>
      <c r="P48" s="505">
        <v>0</v>
      </c>
      <c r="Q48" s="512">
        <v>950</v>
      </c>
      <c r="R48" s="512">
        <f>Input!$G$23</f>
        <v>500</v>
      </c>
      <c r="S48" s="512">
        <f>Input!$G$24</f>
        <v>200</v>
      </c>
      <c r="T48" s="512">
        <f>Input!$G$25</f>
        <v>100</v>
      </c>
      <c r="U48" s="512">
        <f>Input!$G$26</f>
        <v>0</v>
      </c>
      <c r="V48" s="512">
        <f>Input!$G$27/Input!$D$19/Input!$D$11</f>
        <v>0</v>
      </c>
      <c r="Y48" s="524"/>
      <c r="Z48" s="524"/>
    </row>
    <row r="49" spans="1:26">
      <c r="A49" s="503" t="s">
        <v>147</v>
      </c>
      <c r="B49" s="503" t="s">
        <v>142</v>
      </c>
      <c r="C49" s="504">
        <v>750</v>
      </c>
      <c r="D49" s="504">
        <v>4900</v>
      </c>
      <c r="E49" s="507">
        <v>0</v>
      </c>
      <c r="F49" s="504">
        <v>600</v>
      </c>
      <c r="G49" s="505">
        <v>600</v>
      </c>
      <c r="H49" s="505">
        <v>1500</v>
      </c>
      <c r="I49" s="505">
        <v>1200</v>
      </c>
      <c r="J49" s="505">
        <v>3600</v>
      </c>
      <c r="K49" s="505">
        <f>IF(Input!$D$11&gt;10,297.4,VLOOKUP(Input!$D$11,$A$89:$B$98,2,FALSE))</f>
        <v>297.39999999999998</v>
      </c>
      <c r="L49" s="511">
        <f t="shared" si="0"/>
        <v>500</v>
      </c>
      <c r="M49" s="504">
        <v>350</v>
      </c>
      <c r="N49" s="504">
        <v>300</v>
      </c>
      <c r="O49" s="507">
        <v>0</v>
      </c>
      <c r="P49" s="505">
        <v>0</v>
      </c>
      <c r="Q49" s="512">
        <v>0</v>
      </c>
      <c r="R49" s="512">
        <f>Input!$G$23</f>
        <v>500</v>
      </c>
      <c r="S49" s="512">
        <f>Input!$G$24</f>
        <v>200</v>
      </c>
      <c r="T49" s="512">
        <f>Input!$G$25</f>
        <v>100</v>
      </c>
      <c r="U49" s="512">
        <f>Input!$G$26</f>
        <v>0</v>
      </c>
      <c r="V49" s="512">
        <f>Input!$G$27/Input!$D$19/Input!$D$11</f>
        <v>0</v>
      </c>
      <c r="Y49" s="524"/>
      <c r="Z49" s="524"/>
    </row>
    <row r="50" spans="1:26">
      <c r="A50" s="503" t="s">
        <v>148</v>
      </c>
      <c r="B50" s="503" t="s">
        <v>142</v>
      </c>
      <c r="C50" s="504">
        <v>750</v>
      </c>
      <c r="D50" s="504">
        <v>2500</v>
      </c>
      <c r="E50" s="507">
        <v>0</v>
      </c>
      <c r="F50" s="504">
        <v>600</v>
      </c>
      <c r="G50" s="505">
        <v>600</v>
      </c>
      <c r="H50" s="505">
        <v>1500</v>
      </c>
      <c r="I50" s="505">
        <v>1200</v>
      </c>
      <c r="J50" s="505">
        <v>3600</v>
      </c>
      <c r="K50" s="505">
        <f>IF(Input!$D$11&gt;10,297.4,VLOOKUP(Input!$D$11,$A$89:$B$98,2,FALSE))</f>
        <v>297.39999999999998</v>
      </c>
      <c r="L50" s="511">
        <f t="shared" si="0"/>
        <v>500</v>
      </c>
      <c r="M50" s="504">
        <v>350</v>
      </c>
      <c r="N50" s="504">
        <v>300</v>
      </c>
      <c r="O50" s="507">
        <v>0</v>
      </c>
      <c r="P50" s="505">
        <v>0</v>
      </c>
      <c r="Q50" s="512">
        <v>1500</v>
      </c>
      <c r="R50" s="512">
        <f>Input!$G$23</f>
        <v>500</v>
      </c>
      <c r="S50" s="512">
        <f>Input!$G$24</f>
        <v>200</v>
      </c>
      <c r="T50" s="512">
        <f>Input!$G$25</f>
        <v>100</v>
      </c>
      <c r="U50" s="512">
        <f>Input!$G$26</f>
        <v>0</v>
      </c>
      <c r="V50" s="512">
        <f>Input!$G$27/Input!$D$19/Input!$D$11</f>
        <v>0</v>
      </c>
      <c r="Y50" s="524"/>
      <c r="Z50" s="524"/>
    </row>
    <row r="51" spans="1:26">
      <c r="A51" s="503" t="s">
        <v>149</v>
      </c>
      <c r="B51" s="503" t="s">
        <v>142</v>
      </c>
      <c r="C51" s="504">
        <v>750</v>
      </c>
      <c r="D51" s="504">
        <v>2500</v>
      </c>
      <c r="E51" s="507">
        <v>0</v>
      </c>
      <c r="F51" s="504">
        <v>600</v>
      </c>
      <c r="G51" s="505">
        <v>600</v>
      </c>
      <c r="H51" s="505">
        <v>1500</v>
      </c>
      <c r="I51" s="505">
        <v>1200</v>
      </c>
      <c r="J51" s="505">
        <v>3600</v>
      </c>
      <c r="K51" s="505">
        <f>IF(Input!$D$11&gt;10,297.4,VLOOKUP(Input!$D$11,$A$89:$B$98,2,FALSE))</f>
        <v>297.39999999999998</v>
      </c>
      <c r="L51" s="511">
        <f t="shared" si="0"/>
        <v>500</v>
      </c>
      <c r="M51" s="504">
        <v>350</v>
      </c>
      <c r="N51" s="504">
        <v>300</v>
      </c>
      <c r="O51" s="507">
        <v>0</v>
      </c>
      <c r="P51" s="505">
        <v>0</v>
      </c>
      <c r="Q51" s="512">
        <v>1500</v>
      </c>
      <c r="R51" s="512">
        <f>Input!$G$23</f>
        <v>500</v>
      </c>
      <c r="S51" s="512">
        <f>Input!$G$24</f>
        <v>200</v>
      </c>
      <c r="T51" s="512">
        <f>Input!$G$25</f>
        <v>100</v>
      </c>
      <c r="U51" s="512">
        <f>Input!$G$26</f>
        <v>0</v>
      </c>
      <c r="V51" s="512">
        <f>Input!$G$27/Input!$D$19/Input!$D$11</f>
        <v>0</v>
      </c>
      <c r="Y51" s="524"/>
      <c r="Z51" s="524"/>
    </row>
    <row r="52" spans="1:26">
      <c r="A52" s="503" t="s">
        <v>150</v>
      </c>
      <c r="B52" s="503" t="s">
        <v>142</v>
      </c>
      <c r="C52" s="504">
        <v>750</v>
      </c>
      <c r="D52" s="504">
        <v>2500</v>
      </c>
      <c r="E52" s="507">
        <v>0</v>
      </c>
      <c r="F52" s="504">
        <v>600</v>
      </c>
      <c r="G52" s="505">
        <v>600</v>
      </c>
      <c r="H52" s="505">
        <v>1500</v>
      </c>
      <c r="I52" s="505">
        <v>1200</v>
      </c>
      <c r="J52" s="505">
        <v>3600</v>
      </c>
      <c r="K52" s="505">
        <f>IF(Input!$D$11&gt;10,297.4,VLOOKUP(Input!$D$11,$A$89:$B$98,2,FALSE))</f>
        <v>297.39999999999998</v>
      </c>
      <c r="L52" s="511">
        <f t="shared" si="0"/>
        <v>500</v>
      </c>
      <c r="M52" s="504">
        <v>350</v>
      </c>
      <c r="N52" s="504">
        <v>300</v>
      </c>
      <c r="O52" s="507">
        <v>0</v>
      </c>
      <c r="P52" s="505">
        <v>0</v>
      </c>
      <c r="Q52" s="512">
        <v>1500</v>
      </c>
      <c r="R52" s="512">
        <f>Input!$G$23</f>
        <v>500</v>
      </c>
      <c r="S52" s="512">
        <f>Input!$G$24</f>
        <v>200</v>
      </c>
      <c r="T52" s="512">
        <f>Input!$G$25</f>
        <v>100</v>
      </c>
      <c r="U52" s="512">
        <f>Input!$G$26</f>
        <v>0</v>
      </c>
      <c r="V52" s="512">
        <f>Input!$G$27/Input!$D$19/Input!$D$11</f>
        <v>0</v>
      </c>
      <c r="Y52" s="524"/>
      <c r="Z52" s="524"/>
    </row>
    <row r="53" spans="1:26">
      <c r="A53" s="503" t="s">
        <v>151</v>
      </c>
      <c r="B53" s="503" t="s">
        <v>142</v>
      </c>
      <c r="C53" s="504">
        <v>750</v>
      </c>
      <c r="D53" s="504">
        <v>2500</v>
      </c>
      <c r="E53" s="507">
        <v>0</v>
      </c>
      <c r="F53" s="504">
        <v>600</v>
      </c>
      <c r="G53" s="505">
        <v>600</v>
      </c>
      <c r="H53" s="505">
        <v>1500</v>
      </c>
      <c r="I53" s="505">
        <v>1200</v>
      </c>
      <c r="J53" s="505">
        <v>4500</v>
      </c>
      <c r="K53" s="505">
        <f>IF(Input!$D$11&gt;10,297.4,VLOOKUP(Input!$D$11,$A$89:$B$98,2,FALSE))</f>
        <v>297.39999999999998</v>
      </c>
      <c r="L53" s="511">
        <f t="shared" si="0"/>
        <v>500</v>
      </c>
      <c r="M53" s="504">
        <v>350</v>
      </c>
      <c r="N53" s="504">
        <v>300</v>
      </c>
      <c r="O53" s="507">
        <v>0</v>
      </c>
      <c r="P53" s="505">
        <v>0</v>
      </c>
      <c r="Q53" s="512">
        <v>1500</v>
      </c>
      <c r="R53" s="512">
        <f>Input!$G$23</f>
        <v>500</v>
      </c>
      <c r="S53" s="512">
        <f>Input!$G$24</f>
        <v>200</v>
      </c>
      <c r="T53" s="512">
        <f>Input!$G$25</f>
        <v>100</v>
      </c>
      <c r="U53" s="512">
        <f>Input!$G$26</f>
        <v>0</v>
      </c>
      <c r="V53" s="512">
        <f>Input!$G$27/Input!$D$19/Input!$D$11</f>
        <v>0</v>
      </c>
      <c r="Y53" s="524"/>
      <c r="Z53" s="524"/>
    </row>
    <row r="54" spans="1:26">
      <c r="A54" s="503" t="s">
        <v>535</v>
      </c>
      <c r="B54" s="503" t="s">
        <v>122</v>
      </c>
      <c r="C54" s="504">
        <v>750</v>
      </c>
      <c r="D54" s="504">
        <v>0</v>
      </c>
      <c r="E54" s="507">
        <v>0</v>
      </c>
      <c r="F54" s="504">
        <v>600</v>
      </c>
      <c r="G54" s="505">
        <v>600</v>
      </c>
      <c r="H54" s="505">
        <v>1500</v>
      </c>
      <c r="I54" s="505">
        <v>1750</v>
      </c>
      <c r="J54" s="505">
        <v>4300</v>
      </c>
      <c r="K54" s="505">
        <f>IF(Input!$D$11&gt;10,297.4,VLOOKUP(Input!$D$11,$A$89:$B$98,2,FALSE))</f>
        <v>297.39999999999998</v>
      </c>
      <c r="L54" s="511">
        <f t="shared" si="0"/>
        <v>500</v>
      </c>
      <c r="M54" s="504">
        <v>350</v>
      </c>
      <c r="N54" s="504">
        <v>300</v>
      </c>
      <c r="O54" s="507">
        <v>0</v>
      </c>
      <c r="P54" s="505">
        <v>0</v>
      </c>
      <c r="Q54" s="512">
        <v>0</v>
      </c>
      <c r="R54" s="512">
        <f>Input!$G$23</f>
        <v>500</v>
      </c>
      <c r="S54" s="512">
        <f>Input!$G$24</f>
        <v>200</v>
      </c>
      <c r="T54" s="512">
        <f>Input!$G$25</f>
        <v>100</v>
      </c>
      <c r="U54" s="512">
        <f>Input!$G$26</f>
        <v>0</v>
      </c>
      <c r="V54" s="512">
        <f>Input!$G$27/Input!$D$19/Input!$D$11</f>
        <v>0</v>
      </c>
      <c r="Y54" s="524"/>
      <c r="Z54" s="524"/>
    </row>
    <row r="55" spans="1:26">
      <c r="A55" s="503" t="s">
        <v>152</v>
      </c>
      <c r="B55" s="503" t="s">
        <v>142</v>
      </c>
      <c r="C55" s="504">
        <v>750</v>
      </c>
      <c r="D55" s="504">
        <v>4900</v>
      </c>
      <c r="E55" s="507">
        <v>0</v>
      </c>
      <c r="F55" s="504">
        <v>600</v>
      </c>
      <c r="G55" s="505">
        <v>600</v>
      </c>
      <c r="H55" s="505">
        <v>1500</v>
      </c>
      <c r="I55" s="505">
        <v>1450</v>
      </c>
      <c r="J55" s="505">
        <v>4700</v>
      </c>
      <c r="K55" s="505">
        <f>IF(Input!$D$11&gt;10,297.4,VLOOKUP(Input!$D$11,$A$89:$B$98,2,FALSE))</f>
        <v>297.39999999999998</v>
      </c>
      <c r="L55" s="511">
        <f t="shared" si="0"/>
        <v>500</v>
      </c>
      <c r="M55" s="504">
        <v>350</v>
      </c>
      <c r="N55" s="504">
        <v>300</v>
      </c>
      <c r="O55" s="507">
        <v>0</v>
      </c>
      <c r="P55" s="505">
        <v>0</v>
      </c>
      <c r="Q55" s="512">
        <v>0</v>
      </c>
      <c r="R55" s="512">
        <f>Input!$G$23</f>
        <v>500</v>
      </c>
      <c r="S55" s="512">
        <f>Input!$G$24</f>
        <v>200</v>
      </c>
      <c r="T55" s="512">
        <f>Input!$G$25</f>
        <v>100</v>
      </c>
      <c r="U55" s="512">
        <f>Input!$G$26</f>
        <v>0</v>
      </c>
      <c r="V55" s="512">
        <f>Input!$G$27/Input!$D$19/Input!$D$11</f>
        <v>0</v>
      </c>
      <c r="Y55" s="524"/>
      <c r="Z55" s="524"/>
    </row>
    <row r="56" spans="1:26">
      <c r="A56" s="503" t="s">
        <v>153</v>
      </c>
      <c r="B56" s="503" t="s">
        <v>142</v>
      </c>
      <c r="C56" s="504">
        <v>750</v>
      </c>
      <c r="D56" s="504">
        <v>4900</v>
      </c>
      <c r="E56" s="507">
        <v>0</v>
      </c>
      <c r="F56" s="504">
        <v>600</v>
      </c>
      <c r="G56" s="505">
        <v>600</v>
      </c>
      <c r="H56" s="505">
        <v>1500</v>
      </c>
      <c r="I56" s="505">
        <v>1750</v>
      </c>
      <c r="J56" s="505">
        <v>5100</v>
      </c>
      <c r="K56" s="505">
        <f>IF(Input!$D$11&gt;10,297.4,VLOOKUP(Input!$D$11,$A$89:$B$98,2,FALSE))</f>
        <v>297.39999999999998</v>
      </c>
      <c r="L56" s="511">
        <f t="shared" si="0"/>
        <v>500</v>
      </c>
      <c r="M56" s="504">
        <v>350</v>
      </c>
      <c r="N56" s="504">
        <v>300</v>
      </c>
      <c r="O56" s="507">
        <v>0</v>
      </c>
      <c r="P56" s="505">
        <v>0</v>
      </c>
      <c r="Q56" s="512">
        <v>0</v>
      </c>
      <c r="R56" s="512">
        <f>Input!$G$23</f>
        <v>500</v>
      </c>
      <c r="S56" s="512">
        <f>Input!$G$24</f>
        <v>200</v>
      </c>
      <c r="T56" s="512">
        <f>Input!$G$25</f>
        <v>100</v>
      </c>
      <c r="U56" s="512">
        <f>Input!$G$26</f>
        <v>0</v>
      </c>
      <c r="V56" s="512">
        <f>Input!$G$27/Input!$D$19/Input!$D$11</f>
        <v>0</v>
      </c>
      <c r="Y56" s="524"/>
      <c r="Z56" s="524"/>
    </row>
    <row r="57" spans="1:26">
      <c r="A57" s="503" t="s">
        <v>154</v>
      </c>
      <c r="B57" s="503" t="s">
        <v>142</v>
      </c>
      <c r="C57" s="504">
        <v>750</v>
      </c>
      <c r="D57" s="504">
        <v>4900</v>
      </c>
      <c r="E57" s="507">
        <v>0</v>
      </c>
      <c r="F57" s="504">
        <v>600</v>
      </c>
      <c r="G57" s="505">
        <v>600</v>
      </c>
      <c r="H57" s="505">
        <v>1500</v>
      </c>
      <c r="I57" s="505">
        <v>1750</v>
      </c>
      <c r="J57" s="505">
        <v>4800</v>
      </c>
      <c r="K57" s="505">
        <f>IF(Input!$D$11&gt;10,297.4,VLOOKUP(Input!$D$11,$A$89:$B$98,2,FALSE))</f>
        <v>297.39999999999998</v>
      </c>
      <c r="L57" s="511">
        <f t="shared" si="0"/>
        <v>500</v>
      </c>
      <c r="M57" s="504">
        <v>350</v>
      </c>
      <c r="N57" s="504">
        <v>300</v>
      </c>
      <c r="O57" s="507">
        <v>0</v>
      </c>
      <c r="P57" s="505">
        <v>0</v>
      </c>
      <c r="Q57" s="512">
        <v>0</v>
      </c>
      <c r="R57" s="512">
        <f>Input!$G$23</f>
        <v>500</v>
      </c>
      <c r="S57" s="512">
        <f>Input!$G$24</f>
        <v>200</v>
      </c>
      <c r="T57" s="512">
        <f>Input!$G$25</f>
        <v>100</v>
      </c>
      <c r="U57" s="512">
        <f>Input!$G$26</f>
        <v>0</v>
      </c>
      <c r="V57" s="512">
        <f>Input!$G$27/Input!$D$19/Input!$D$11</f>
        <v>0</v>
      </c>
    </row>
    <row r="58" spans="1:26">
      <c r="A58" s="503" t="s">
        <v>535</v>
      </c>
      <c r="B58" s="503" t="s">
        <v>122</v>
      </c>
      <c r="C58" s="504">
        <v>750</v>
      </c>
      <c r="D58" s="504">
        <v>0</v>
      </c>
      <c r="E58" s="507">
        <v>0</v>
      </c>
      <c r="F58" s="504">
        <v>600</v>
      </c>
      <c r="G58" s="505">
        <v>600</v>
      </c>
      <c r="H58" s="505">
        <v>1500</v>
      </c>
      <c r="I58" s="505">
        <v>1750</v>
      </c>
      <c r="J58" s="505">
        <v>5200</v>
      </c>
      <c r="K58" s="505">
        <f>IF(Input!$D$11&gt;10,297.4,VLOOKUP(Input!$D$11,$A$89:$B$98,2,FALSE))</f>
        <v>297.39999999999998</v>
      </c>
      <c r="L58" s="511">
        <f t="shared" si="0"/>
        <v>500</v>
      </c>
      <c r="M58" s="504">
        <v>350</v>
      </c>
      <c r="N58" s="504">
        <v>300</v>
      </c>
      <c r="O58" s="507">
        <v>0</v>
      </c>
      <c r="P58" s="505">
        <v>0</v>
      </c>
      <c r="Q58" s="512">
        <v>0</v>
      </c>
      <c r="R58" s="512">
        <f>Input!$G$23</f>
        <v>500</v>
      </c>
      <c r="S58" s="512">
        <f>Input!$G$24</f>
        <v>200</v>
      </c>
      <c r="T58" s="512">
        <f>Input!$G$25</f>
        <v>100</v>
      </c>
      <c r="U58" s="512">
        <f>Input!$G$26</f>
        <v>0</v>
      </c>
      <c r="V58" s="512">
        <f>Input!$G$27/Input!$D$19/Input!$D$11</f>
        <v>0</v>
      </c>
    </row>
    <row r="59" spans="1:26">
      <c r="A59" s="503" t="s">
        <v>536</v>
      </c>
      <c r="B59" s="503" t="s">
        <v>122</v>
      </c>
      <c r="C59" s="504">
        <v>750</v>
      </c>
      <c r="D59" s="504">
        <v>0</v>
      </c>
      <c r="E59" s="507">
        <v>0</v>
      </c>
      <c r="F59" s="504">
        <v>600</v>
      </c>
      <c r="G59" s="505">
        <v>600</v>
      </c>
      <c r="H59" s="505">
        <v>1500</v>
      </c>
      <c r="I59" s="505">
        <v>1750</v>
      </c>
      <c r="J59" s="505">
        <v>6400</v>
      </c>
      <c r="K59" s="505">
        <f>IF(Input!$D$11&gt;10,297.4,VLOOKUP(Input!$D$11,$A$89:$B$98,2,FALSE))</f>
        <v>297.39999999999998</v>
      </c>
      <c r="L59" s="511">
        <f t="shared" si="0"/>
        <v>500</v>
      </c>
      <c r="M59" s="504">
        <v>350</v>
      </c>
      <c r="N59" s="504">
        <v>300</v>
      </c>
      <c r="O59" s="507">
        <v>0</v>
      </c>
      <c r="P59" s="505">
        <v>0</v>
      </c>
      <c r="Q59" s="512">
        <v>0</v>
      </c>
      <c r="R59" s="512">
        <f>Input!$G$23</f>
        <v>500</v>
      </c>
      <c r="S59" s="512">
        <f>Input!$G$24</f>
        <v>200</v>
      </c>
      <c r="T59" s="512">
        <f>Input!$G$25</f>
        <v>100</v>
      </c>
      <c r="U59" s="512">
        <f>Input!$G$26</f>
        <v>0</v>
      </c>
      <c r="V59" s="512">
        <f>Input!$G$27/Input!$D$19/Input!$D$11</f>
        <v>0</v>
      </c>
    </row>
    <row r="60" spans="1:26">
      <c r="A60" s="503" t="s">
        <v>655</v>
      </c>
      <c r="B60" s="503" t="s">
        <v>654</v>
      </c>
      <c r="C60" s="504">
        <v>750</v>
      </c>
      <c r="D60" s="507">
        <v>0</v>
      </c>
      <c r="E60" s="507">
        <v>0</v>
      </c>
      <c r="F60" s="504">
        <v>600</v>
      </c>
      <c r="G60" s="505">
        <v>750</v>
      </c>
      <c r="H60" s="505">
        <v>1650</v>
      </c>
      <c r="I60" s="505">
        <v>2250</v>
      </c>
      <c r="J60" s="505">
        <v>6400</v>
      </c>
      <c r="K60" s="505">
        <f>IF(Input!$D$11&gt;10,297.4,VLOOKUP(Input!$D$11,$A$89:$B$98,2,FALSE))</f>
        <v>297.39999999999998</v>
      </c>
      <c r="L60" s="511">
        <f t="shared" si="0"/>
        <v>500</v>
      </c>
      <c r="M60" s="504">
        <v>350</v>
      </c>
      <c r="N60" s="504">
        <v>300</v>
      </c>
      <c r="O60" s="507">
        <v>0</v>
      </c>
      <c r="P60" s="505">
        <v>0</v>
      </c>
      <c r="Q60" s="512">
        <v>0</v>
      </c>
      <c r="R60" s="512">
        <f>Input!$G$23</f>
        <v>500</v>
      </c>
      <c r="S60" s="512">
        <f>Input!$G$24</f>
        <v>200</v>
      </c>
      <c r="T60" s="512">
        <f>Input!$G$25</f>
        <v>100</v>
      </c>
      <c r="U60" s="512">
        <f>Input!$G$26</f>
        <v>0</v>
      </c>
      <c r="V60" s="512">
        <f>Input!$G$27/Input!$D$19/Input!$D$11</f>
        <v>0</v>
      </c>
    </row>
    <row r="61" spans="1:26">
      <c r="A61" s="503" t="s">
        <v>656</v>
      </c>
      <c r="B61" s="503" t="s">
        <v>654</v>
      </c>
      <c r="C61" s="504">
        <v>750</v>
      </c>
      <c r="D61" s="507">
        <v>0</v>
      </c>
      <c r="E61" s="507">
        <v>0</v>
      </c>
      <c r="F61" s="504">
        <v>600</v>
      </c>
      <c r="G61" s="505">
        <v>750</v>
      </c>
      <c r="H61" s="505">
        <v>1650</v>
      </c>
      <c r="I61" s="505">
        <v>2250</v>
      </c>
      <c r="J61" s="505">
        <v>6400</v>
      </c>
      <c r="K61" s="505">
        <f>IF(Input!$D$11&gt;10,297.4,VLOOKUP(Input!$D$11,$A$89:$B$98,2,FALSE))</f>
        <v>297.39999999999998</v>
      </c>
      <c r="L61" s="511">
        <f t="shared" si="0"/>
        <v>500</v>
      </c>
      <c r="M61" s="504">
        <v>350</v>
      </c>
      <c r="N61" s="504">
        <v>300</v>
      </c>
      <c r="O61" s="507">
        <v>0</v>
      </c>
      <c r="P61" s="505">
        <v>0</v>
      </c>
      <c r="Q61" s="512">
        <v>0</v>
      </c>
      <c r="R61" s="512">
        <f>Input!$G$23</f>
        <v>500</v>
      </c>
      <c r="S61" s="512">
        <f>Input!$G$24</f>
        <v>200</v>
      </c>
      <c r="T61" s="512">
        <f>Input!$G$25</f>
        <v>100</v>
      </c>
      <c r="U61" s="512">
        <f>Input!$G$26</f>
        <v>0</v>
      </c>
      <c r="V61" s="512">
        <f>Input!$G$27/Input!$D$19/Input!$D$11</f>
        <v>0</v>
      </c>
    </row>
    <row r="62" spans="1:26">
      <c r="A62" s="503" t="s">
        <v>657</v>
      </c>
      <c r="B62" s="503" t="s">
        <v>654</v>
      </c>
      <c r="C62" s="504">
        <v>750</v>
      </c>
      <c r="D62" s="507">
        <v>0</v>
      </c>
      <c r="E62" s="507">
        <v>0</v>
      </c>
      <c r="F62" s="504">
        <v>600</v>
      </c>
      <c r="G62" s="505">
        <v>750</v>
      </c>
      <c r="H62" s="505">
        <v>1650</v>
      </c>
      <c r="I62" s="505">
        <v>2250</v>
      </c>
      <c r="J62" s="505">
        <v>6400</v>
      </c>
      <c r="K62" s="505">
        <f>IF(Input!$D$11&gt;10,297.4,VLOOKUP(Input!$D$11,$A$89:$B$98,2,FALSE))</f>
        <v>297.39999999999998</v>
      </c>
      <c r="L62" s="511">
        <f t="shared" si="0"/>
        <v>500</v>
      </c>
      <c r="M62" s="504">
        <v>350</v>
      </c>
      <c r="N62" s="504">
        <v>300</v>
      </c>
      <c r="O62" s="507">
        <v>0</v>
      </c>
      <c r="P62" s="505">
        <v>0</v>
      </c>
      <c r="Q62" s="512">
        <v>0</v>
      </c>
      <c r="R62" s="512">
        <f>Input!$G$23</f>
        <v>500</v>
      </c>
      <c r="S62" s="512">
        <f>Input!$G$24</f>
        <v>200</v>
      </c>
      <c r="T62" s="512">
        <f>Input!$G$25</f>
        <v>100</v>
      </c>
      <c r="U62" s="512">
        <f>Input!$G$26</f>
        <v>0</v>
      </c>
      <c r="V62" s="512">
        <f>Input!$G$27/Input!$D$19/Input!$D$11</f>
        <v>0</v>
      </c>
    </row>
    <row r="63" spans="1:26">
      <c r="A63" s="503" t="s">
        <v>658</v>
      </c>
      <c r="B63" s="503" t="s">
        <v>654</v>
      </c>
      <c r="C63" s="504">
        <v>750</v>
      </c>
      <c r="D63" s="507">
        <v>0</v>
      </c>
      <c r="E63" s="507">
        <v>0</v>
      </c>
      <c r="F63" s="504">
        <v>600</v>
      </c>
      <c r="G63" s="505">
        <v>750</v>
      </c>
      <c r="H63" s="505">
        <v>1650</v>
      </c>
      <c r="I63" s="505">
        <v>2250</v>
      </c>
      <c r="J63" s="505">
        <v>6400</v>
      </c>
      <c r="K63" s="505">
        <f>IF(Input!$D$11&gt;10,297.4,VLOOKUP(Input!$D$11,$A$89:$B$98,2,FALSE))</f>
        <v>297.39999999999998</v>
      </c>
      <c r="L63" s="511">
        <f t="shared" si="0"/>
        <v>500</v>
      </c>
      <c r="M63" s="504">
        <v>350</v>
      </c>
      <c r="N63" s="504">
        <v>300</v>
      </c>
      <c r="O63" s="507">
        <v>0</v>
      </c>
      <c r="P63" s="505">
        <v>0</v>
      </c>
      <c r="Q63" s="512">
        <v>0</v>
      </c>
      <c r="R63" s="512">
        <f>Input!$G$23</f>
        <v>500</v>
      </c>
      <c r="S63" s="512">
        <f>Input!$G$24</f>
        <v>200</v>
      </c>
      <c r="T63" s="512">
        <f>Input!$G$25</f>
        <v>100</v>
      </c>
      <c r="U63" s="512">
        <f>Input!$G$26</f>
        <v>0</v>
      </c>
      <c r="V63" s="512">
        <f>Input!$G$27/Input!$D$19/Input!$D$11</f>
        <v>0</v>
      </c>
    </row>
    <row r="64" spans="1:26">
      <c r="A64" s="503" t="s">
        <v>659</v>
      </c>
      <c r="B64" s="503" t="s">
        <v>654</v>
      </c>
      <c r="C64" s="504">
        <v>750</v>
      </c>
      <c r="D64" s="507">
        <v>0</v>
      </c>
      <c r="E64" s="507">
        <v>0</v>
      </c>
      <c r="F64" s="504">
        <v>600</v>
      </c>
      <c r="G64" s="505">
        <v>750</v>
      </c>
      <c r="H64" s="505">
        <v>1650</v>
      </c>
      <c r="I64" s="505">
        <v>2250</v>
      </c>
      <c r="J64" s="505">
        <v>6400</v>
      </c>
      <c r="K64" s="505">
        <f>IF(Input!$D$11&gt;10,297.4,VLOOKUP(Input!$D$11,$A$89:$B$98,2,FALSE))</f>
        <v>297.39999999999998</v>
      </c>
      <c r="L64" s="511">
        <f t="shared" si="0"/>
        <v>500</v>
      </c>
      <c r="M64" s="504">
        <v>350</v>
      </c>
      <c r="N64" s="504">
        <v>300</v>
      </c>
      <c r="O64" s="507">
        <v>0</v>
      </c>
      <c r="P64" s="505">
        <v>0</v>
      </c>
      <c r="Q64" s="512">
        <v>0</v>
      </c>
      <c r="R64" s="512">
        <f>Input!$G$23</f>
        <v>500</v>
      </c>
      <c r="S64" s="512">
        <f>Input!$G$24</f>
        <v>200</v>
      </c>
      <c r="T64" s="512">
        <f>Input!$G$25</f>
        <v>100</v>
      </c>
      <c r="U64" s="512">
        <f>Input!$G$26</f>
        <v>0</v>
      </c>
      <c r="V64" s="512">
        <f>Input!$G$27/Input!$D$19/Input!$D$11</f>
        <v>0</v>
      </c>
    </row>
    <row r="65" spans="1:22">
      <c r="A65" s="503" t="s">
        <v>660</v>
      </c>
      <c r="B65" s="503" t="s">
        <v>654</v>
      </c>
      <c r="C65" s="504">
        <v>750</v>
      </c>
      <c r="D65" s="507">
        <v>0</v>
      </c>
      <c r="E65" s="507">
        <v>0</v>
      </c>
      <c r="F65" s="504">
        <v>600</v>
      </c>
      <c r="G65" s="505">
        <v>750</v>
      </c>
      <c r="H65" s="505">
        <v>1650</v>
      </c>
      <c r="I65" s="505">
        <v>2250</v>
      </c>
      <c r="J65" s="505">
        <v>6400</v>
      </c>
      <c r="K65" s="505">
        <f>IF(Input!$D$11&gt;10,297.4,VLOOKUP(Input!$D$11,$A$89:$B$98,2,FALSE))</f>
        <v>297.39999999999998</v>
      </c>
      <c r="L65" s="511">
        <f t="shared" si="0"/>
        <v>500</v>
      </c>
      <c r="M65" s="504">
        <v>350</v>
      </c>
      <c r="N65" s="504">
        <v>300</v>
      </c>
      <c r="O65" s="507">
        <v>0</v>
      </c>
      <c r="P65" s="505">
        <v>0</v>
      </c>
      <c r="Q65" s="512">
        <v>0</v>
      </c>
      <c r="R65" s="512">
        <f>Input!$G$23</f>
        <v>500</v>
      </c>
      <c r="S65" s="512">
        <f>Input!$G$24</f>
        <v>200</v>
      </c>
      <c r="T65" s="512">
        <f>Input!$G$25</f>
        <v>100</v>
      </c>
      <c r="U65" s="512">
        <f>Input!$G$26</f>
        <v>0</v>
      </c>
      <c r="V65" s="512">
        <f>Input!$G$27/Input!$D$19/Input!$D$11</f>
        <v>0</v>
      </c>
    </row>
    <row r="66" spans="1:22">
      <c r="A66" s="503" t="s">
        <v>661</v>
      </c>
      <c r="B66" s="503" t="s">
        <v>654</v>
      </c>
      <c r="C66" s="504">
        <v>750</v>
      </c>
      <c r="D66" s="507">
        <v>0</v>
      </c>
      <c r="E66" s="507">
        <v>0</v>
      </c>
      <c r="F66" s="504">
        <v>600</v>
      </c>
      <c r="G66" s="505">
        <v>750</v>
      </c>
      <c r="H66" s="505">
        <v>1650</v>
      </c>
      <c r="I66" s="505">
        <v>2250</v>
      </c>
      <c r="J66" s="505">
        <v>6400</v>
      </c>
      <c r="K66" s="505">
        <f>IF(Input!$D$11&gt;10,297.4,VLOOKUP(Input!$D$11,$A$89:$B$98,2,FALSE))</f>
        <v>297.39999999999998</v>
      </c>
      <c r="L66" s="511">
        <f t="shared" si="0"/>
        <v>500</v>
      </c>
      <c r="M66" s="504">
        <v>350</v>
      </c>
      <c r="N66" s="504">
        <v>300</v>
      </c>
      <c r="O66" s="507">
        <v>0</v>
      </c>
      <c r="P66" s="505">
        <v>0</v>
      </c>
      <c r="Q66" s="512">
        <v>0</v>
      </c>
      <c r="R66" s="512">
        <f>Input!$G$23</f>
        <v>500</v>
      </c>
      <c r="S66" s="512">
        <f>Input!$G$24</f>
        <v>200</v>
      </c>
      <c r="T66" s="512">
        <f>Input!$G$25</f>
        <v>100</v>
      </c>
      <c r="U66" s="512">
        <f>Input!$G$26</f>
        <v>0</v>
      </c>
      <c r="V66" s="512">
        <f>Input!$G$27/Input!$D$19/Input!$D$11</f>
        <v>0</v>
      </c>
    </row>
    <row r="67" spans="1:22">
      <c r="A67" s="503" t="s">
        <v>662</v>
      </c>
      <c r="B67" s="503" t="s">
        <v>654</v>
      </c>
      <c r="C67" s="504">
        <v>750</v>
      </c>
      <c r="D67" s="507">
        <v>0</v>
      </c>
      <c r="E67" s="507">
        <v>0</v>
      </c>
      <c r="F67" s="504">
        <v>600</v>
      </c>
      <c r="G67" s="505">
        <v>750</v>
      </c>
      <c r="H67" s="505">
        <v>1650</v>
      </c>
      <c r="I67" s="505">
        <v>2250</v>
      </c>
      <c r="J67" s="505">
        <v>6400</v>
      </c>
      <c r="K67" s="505">
        <f>IF(Input!$D$11&gt;10,297.4,VLOOKUP(Input!$D$11,$A$89:$B$98,2,FALSE))</f>
        <v>297.39999999999998</v>
      </c>
      <c r="L67" s="511">
        <f t="shared" si="0"/>
        <v>500</v>
      </c>
      <c r="M67" s="504">
        <v>350</v>
      </c>
      <c r="N67" s="504">
        <v>300</v>
      </c>
      <c r="O67" s="507">
        <v>0</v>
      </c>
      <c r="P67" s="505">
        <v>0</v>
      </c>
      <c r="Q67" s="512">
        <v>0</v>
      </c>
      <c r="R67" s="512">
        <f>Input!$G$23</f>
        <v>500</v>
      </c>
      <c r="S67" s="512">
        <f>Input!$G$24</f>
        <v>200</v>
      </c>
      <c r="T67" s="512">
        <f>Input!$G$25</f>
        <v>100</v>
      </c>
      <c r="U67" s="512">
        <f>Input!$G$26</f>
        <v>0</v>
      </c>
      <c r="V67" s="512">
        <f>Input!$G$27/Input!$D$19/Input!$D$11</f>
        <v>0</v>
      </c>
    </row>
    <row r="68" spans="1:22">
      <c r="A68" s="503" t="s">
        <v>663</v>
      </c>
      <c r="B68" s="503" t="s">
        <v>654</v>
      </c>
      <c r="C68" s="504">
        <v>750</v>
      </c>
      <c r="D68" s="507">
        <v>0</v>
      </c>
      <c r="E68" s="507">
        <v>0</v>
      </c>
      <c r="F68" s="504">
        <v>600</v>
      </c>
      <c r="G68" s="505">
        <v>750</v>
      </c>
      <c r="H68" s="505">
        <v>1650</v>
      </c>
      <c r="I68" s="505">
        <v>2250</v>
      </c>
      <c r="J68" s="505">
        <v>6400</v>
      </c>
      <c r="K68" s="505">
        <f>IF(Input!$D$11&gt;10,297.4,VLOOKUP(Input!$D$11,$A$89:$B$98,2,FALSE))</f>
        <v>297.39999999999998</v>
      </c>
      <c r="L68" s="511">
        <f t="shared" si="0"/>
        <v>500</v>
      </c>
      <c r="M68" s="504">
        <v>350</v>
      </c>
      <c r="N68" s="504">
        <v>300</v>
      </c>
      <c r="O68" s="507">
        <v>0</v>
      </c>
      <c r="P68" s="505">
        <v>0</v>
      </c>
      <c r="Q68" s="512">
        <v>0</v>
      </c>
      <c r="R68" s="512">
        <f>Input!$G$23</f>
        <v>500</v>
      </c>
      <c r="S68" s="512">
        <f>Input!$G$24</f>
        <v>200</v>
      </c>
      <c r="T68" s="512">
        <f>Input!$G$25</f>
        <v>100</v>
      </c>
      <c r="U68" s="512">
        <f>Input!$G$26</f>
        <v>0</v>
      </c>
      <c r="V68" s="512">
        <f>Input!$G$27/Input!$D$19/Input!$D$11</f>
        <v>0</v>
      </c>
    </row>
    <row r="69" spans="1:22">
      <c r="A69" s="503" t="s">
        <v>664</v>
      </c>
      <c r="B69" s="503" t="s">
        <v>654</v>
      </c>
      <c r="C69" s="504">
        <v>750</v>
      </c>
      <c r="D69" s="507">
        <v>0</v>
      </c>
      <c r="E69" s="507">
        <v>0</v>
      </c>
      <c r="F69" s="504">
        <v>600</v>
      </c>
      <c r="G69" s="505">
        <v>750</v>
      </c>
      <c r="H69" s="505">
        <v>1650</v>
      </c>
      <c r="I69" s="505">
        <v>2250</v>
      </c>
      <c r="J69" s="505">
        <v>6400</v>
      </c>
      <c r="K69" s="505">
        <f>IF(Input!$D$11&gt;10,297.4,VLOOKUP(Input!$D$11,$A$89:$B$98,2,FALSE))</f>
        <v>297.39999999999998</v>
      </c>
      <c r="L69" s="511">
        <f t="shared" ref="L69:L86" si="1">1500/3</f>
        <v>500</v>
      </c>
      <c r="M69" s="504">
        <v>350</v>
      </c>
      <c r="N69" s="504">
        <v>300</v>
      </c>
      <c r="O69" s="507">
        <v>0</v>
      </c>
      <c r="P69" s="505">
        <v>0</v>
      </c>
      <c r="Q69" s="512">
        <v>0</v>
      </c>
      <c r="R69" s="512">
        <f>Input!$G$23</f>
        <v>500</v>
      </c>
      <c r="S69" s="512">
        <f>Input!$G$24</f>
        <v>200</v>
      </c>
      <c r="T69" s="512">
        <f>Input!$G$25</f>
        <v>100</v>
      </c>
      <c r="U69" s="512">
        <f>Input!$G$26</f>
        <v>0</v>
      </c>
      <c r="V69" s="512">
        <f>Input!$G$27/Input!$D$19/Input!$D$11</f>
        <v>0</v>
      </c>
    </row>
    <row r="70" spans="1:22">
      <c r="A70" s="503" t="s">
        <v>665</v>
      </c>
      <c r="B70" s="503" t="s">
        <v>654</v>
      </c>
      <c r="C70" s="504">
        <v>750</v>
      </c>
      <c r="D70" s="507">
        <v>0</v>
      </c>
      <c r="E70" s="507">
        <v>0</v>
      </c>
      <c r="F70" s="504">
        <v>600</v>
      </c>
      <c r="G70" s="505">
        <v>750</v>
      </c>
      <c r="H70" s="505">
        <v>1650</v>
      </c>
      <c r="I70" s="505">
        <v>2250</v>
      </c>
      <c r="J70" s="505">
        <v>6400</v>
      </c>
      <c r="K70" s="505">
        <f>IF(Input!$D$11&gt;10,297.4,VLOOKUP(Input!$D$11,$A$89:$B$98,2,FALSE))</f>
        <v>297.39999999999998</v>
      </c>
      <c r="L70" s="511">
        <f t="shared" si="1"/>
        <v>500</v>
      </c>
      <c r="M70" s="504">
        <v>350</v>
      </c>
      <c r="N70" s="504">
        <v>300</v>
      </c>
      <c r="O70" s="507">
        <v>0</v>
      </c>
      <c r="P70" s="505">
        <v>0</v>
      </c>
      <c r="Q70" s="512">
        <v>0</v>
      </c>
      <c r="R70" s="512">
        <f>Input!$G$23</f>
        <v>500</v>
      </c>
      <c r="S70" s="512">
        <f>Input!$G$24</f>
        <v>200</v>
      </c>
      <c r="T70" s="512">
        <f>Input!$G$25</f>
        <v>100</v>
      </c>
      <c r="U70" s="512">
        <f>Input!$G$26</f>
        <v>0</v>
      </c>
      <c r="V70" s="512">
        <f>Input!$G$27/Input!$D$19/Input!$D$11</f>
        <v>0</v>
      </c>
    </row>
    <row r="71" spans="1:22">
      <c r="A71" s="503" t="s">
        <v>666</v>
      </c>
      <c r="B71" s="503" t="s">
        <v>654</v>
      </c>
      <c r="C71" s="504">
        <v>750</v>
      </c>
      <c r="D71" s="507">
        <v>0</v>
      </c>
      <c r="E71" s="507">
        <v>0</v>
      </c>
      <c r="F71" s="504">
        <v>600</v>
      </c>
      <c r="G71" s="505">
        <v>750</v>
      </c>
      <c r="H71" s="505">
        <v>1650</v>
      </c>
      <c r="I71" s="505">
        <v>2250</v>
      </c>
      <c r="J71" s="505">
        <v>6400</v>
      </c>
      <c r="K71" s="505">
        <f>IF(Input!$D$11&gt;10,297.4,VLOOKUP(Input!$D$11,$A$89:$B$98,2,FALSE))</f>
        <v>297.39999999999998</v>
      </c>
      <c r="L71" s="511">
        <f t="shared" si="1"/>
        <v>500</v>
      </c>
      <c r="M71" s="504">
        <v>350</v>
      </c>
      <c r="N71" s="504">
        <v>300</v>
      </c>
      <c r="O71" s="507">
        <v>0</v>
      </c>
      <c r="P71" s="505">
        <v>0</v>
      </c>
      <c r="Q71" s="512">
        <v>0</v>
      </c>
      <c r="R71" s="512">
        <f>Input!$G$23</f>
        <v>500</v>
      </c>
      <c r="S71" s="512">
        <f>Input!$G$24</f>
        <v>200</v>
      </c>
      <c r="T71" s="512">
        <f>Input!$G$25</f>
        <v>100</v>
      </c>
      <c r="U71" s="512">
        <f>Input!$G$26</f>
        <v>0</v>
      </c>
      <c r="V71" s="512">
        <f>Input!$G$27/Input!$D$19/Input!$D$11</f>
        <v>0</v>
      </c>
    </row>
    <row r="72" spans="1:22">
      <c r="A72" s="503" t="s">
        <v>667</v>
      </c>
      <c r="B72" s="503" t="s">
        <v>654</v>
      </c>
      <c r="C72" s="504">
        <v>750</v>
      </c>
      <c r="D72" s="507">
        <v>0</v>
      </c>
      <c r="E72" s="507">
        <v>0</v>
      </c>
      <c r="F72" s="504">
        <v>600</v>
      </c>
      <c r="G72" s="505">
        <v>750</v>
      </c>
      <c r="H72" s="505">
        <v>1650</v>
      </c>
      <c r="I72" s="505">
        <v>2250</v>
      </c>
      <c r="J72" s="505">
        <v>6400</v>
      </c>
      <c r="K72" s="505">
        <f>IF(Input!$D$11&gt;10,297.4,VLOOKUP(Input!$D$11,$A$89:$B$98,2,FALSE))</f>
        <v>297.39999999999998</v>
      </c>
      <c r="L72" s="511">
        <f t="shared" si="1"/>
        <v>500</v>
      </c>
      <c r="M72" s="504">
        <v>350</v>
      </c>
      <c r="N72" s="504">
        <v>300</v>
      </c>
      <c r="O72" s="507">
        <v>0</v>
      </c>
      <c r="P72" s="505">
        <v>0</v>
      </c>
      <c r="Q72" s="512">
        <v>0</v>
      </c>
      <c r="R72" s="512">
        <f>Input!$G$23</f>
        <v>500</v>
      </c>
      <c r="S72" s="512">
        <f>Input!$G$24</f>
        <v>200</v>
      </c>
      <c r="T72" s="512">
        <f>Input!$G$25</f>
        <v>100</v>
      </c>
      <c r="U72" s="512">
        <f>Input!$G$26</f>
        <v>0</v>
      </c>
      <c r="V72" s="512">
        <f>Input!$G$27/Input!$D$19/Input!$D$11</f>
        <v>0</v>
      </c>
    </row>
    <row r="73" spans="1:22">
      <c r="A73" s="503" t="s">
        <v>668</v>
      </c>
      <c r="B73" s="503" t="s">
        <v>654</v>
      </c>
      <c r="C73" s="504">
        <v>750</v>
      </c>
      <c r="D73" s="507">
        <v>0</v>
      </c>
      <c r="E73" s="507">
        <v>0</v>
      </c>
      <c r="F73" s="504">
        <v>600</v>
      </c>
      <c r="G73" s="505">
        <v>750</v>
      </c>
      <c r="H73" s="505">
        <v>1650</v>
      </c>
      <c r="I73" s="505">
        <v>2250</v>
      </c>
      <c r="J73" s="505">
        <v>6400</v>
      </c>
      <c r="K73" s="505">
        <f>IF(Input!$D$11&gt;10,297.4,VLOOKUP(Input!$D$11,$A$89:$B$98,2,FALSE))</f>
        <v>297.39999999999998</v>
      </c>
      <c r="L73" s="511">
        <f t="shared" si="1"/>
        <v>500</v>
      </c>
      <c r="M73" s="504">
        <v>350</v>
      </c>
      <c r="N73" s="504">
        <v>300</v>
      </c>
      <c r="O73" s="507">
        <v>0</v>
      </c>
      <c r="P73" s="505">
        <v>0</v>
      </c>
      <c r="Q73" s="512">
        <v>0</v>
      </c>
      <c r="R73" s="512">
        <f>Input!$G$23</f>
        <v>500</v>
      </c>
      <c r="S73" s="512">
        <f>Input!$G$24</f>
        <v>200</v>
      </c>
      <c r="T73" s="512">
        <f>Input!$G$25</f>
        <v>100</v>
      </c>
      <c r="U73" s="512">
        <f>Input!$G$26</f>
        <v>0</v>
      </c>
      <c r="V73" s="512">
        <f>Input!$G$27/Input!$D$19/Input!$D$11</f>
        <v>0</v>
      </c>
    </row>
    <row r="74" spans="1:22">
      <c r="A74" s="503" t="s">
        <v>669</v>
      </c>
      <c r="B74" s="503" t="s">
        <v>654</v>
      </c>
      <c r="C74" s="504">
        <v>750</v>
      </c>
      <c r="D74" s="507">
        <v>0</v>
      </c>
      <c r="E74" s="507">
        <v>0</v>
      </c>
      <c r="F74" s="504">
        <v>600</v>
      </c>
      <c r="G74" s="505">
        <v>750</v>
      </c>
      <c r="H74" s="505">
        <v>1650</v>
      </c>
      <c r="I74" s="505">
        <v>2250</v>
      </c>
      <c r="J74" s="505">
        <v>6400</v>
      </c>
      <c r="K74" s="505">
        <f>IF(Input!$D$11&gt;10,297.4,VLOOKUP(Input!$D$11,$A$89:$B$98,2,FALSE))</f>
        <v>297.39999999999998</v>
      </c>
      <c r="L74" s="511">
        <f t="shared" si="1"/>
        <v>500</v>
      </c>
      <c r="M74" s="504">
        <v>350</v>
      </c>
      <c r="N74" s="504">
        <v>300</v>
      </c>
      <c r="O74" s="507">
        <v>0</v>
      </c>
      <c r="P74" s="505">
        <v>0</v>
      </c>
      <c r="Q74" s="512">
        <v>0</v>
      </c>
      <c r="R74" s="512">
        <f>Input!$G$23</f>
        <v>500</v>
      </c>
      <c r="S74" s="512">
        <f>Input!$G$24</f>
        <v>200</v>
      </c>
      <c r="T74" s="512">
        <f>Input!$G$25</f>
        <v>100</v>
      </c>
      <c r="U74" s="512">
        <f>Input!$G$26</f>
        <v>0</v>
      </c>
      <c r="V74" s="512">
        <f>Input!$G$27/Input!$D$19/Input!$D$11</f>
        <v>0</v>
      </c>
    </row>
    <row r="75" spans="1:22">
      <c r="A75" s="503" t="s">
        <v>670</v>
      </c>
      <c r="B75" s="503" t="s">
        <v>654</v>
      </c>
      <c r="C75" s="504">
        <v>750</v>
      </c>
      <c r="D75" s="507">
        <v>0</v>
      </c>
      <c r="E75" s="507">
        <v>0</v>
      </c>
      <c r="F75" s="504">
        <v>600</v>
      </c>
      <c r="G75" s="505">
        <v>750</v>
      </c>
      <c r="H75" s="505">
        <v>1650</v>
      </c>
      <c r="I75" s="505">
        <v>2250</v>
      </c>
      <c r="J75" s="505">
        <v>6400</v>
      </c>
      <c r="K75" s="505">
        <f>IF(Input!$D$11&gt;10,297.4,VLOOKUP(Input!$D$11,$A$89:$B$98,2,FALSE))</f>
        <v>297.39999999999998</v>
      </c>
      <c r="L75" s="511">
        <f t="shared" si="1"/>
        <v>500</v>
      </c>
      <c r="M75" s="504">
        <v>350</v>
      </c>
      <c r="N75" s="504">
        <v>300</v>
      </c>
      <c r="O75" s="507">
        <v>0</v>
      </c>
      <c r="P75" s="505">
        <v>0</v>
      </c>
      <c r="Q75" s="512">
        <v>0</v>
      </c>
      <c r="R75" s="512">
        <f>Input!$G$23</f>
        <v>500</v>
      </c>
      <c r="S75" s="512">
        <f>Input!$G$24</f>
        <v>200</v>
      </c>
      <c r="T75" s="512">
        <f>Input!$G$25</f>
        <v>100</v>
      </c>
      <c r="U75" s="512">
        <f>Input!$G$26</f>
        <v>0</v>
      </c>
      <c r="V75" s="512">
        <f>Input!$G$27/Input!$D$19/Input!$D$11</f>
        <v>0</v>
      </c>
    </row>
    <row r="76" spans="1:22">
      <c r="A76" s="503" t="s">
        <v>671</v>
      </c>
      <c r="B76" s="503" t="s">
        <v>654</v>
      </c>
      <c r="C76" s="504">
        <v>750</v>
      </c>
      <c r="D76" s="507">
        <v>0</v>
      </c>
      <c r="E76" s="507">
        <v>0</v>
      </c>
      <c r="F76" s="504">
        <v>600</v>
      </c>
      <c r="G76" s="505">
        <v>750</v>
      </c>
      <c r="H76" s="505">
        <v>1650</v>
      </c>
      <c r="I76" s="505">
        <v>2250</v>
      </c>
      <c r="J76" s="505">
        <v>6400</v>
      </c>
      <c r="K76" s="505">
        <f>IF(Input!$D$11&gt;10,297.4,VLOOKUP(Input!$D$11,$A$89:$B$98,2,FALSE))</f>
        <v>297.39999999999998</v>
      </c>
      <c r="L76" s="511">
        <f t="shared" si="1"/>
        <v>500</v>
      </c>
      <c r="M76" s="504">
        <v>350</v>
      </c>
      <c r="N76" s="504">
        <v>300</v>
      </c>
      <c r="O76" s="507">
        <v>0</v>
      </c>
      <c r="P76" s="505">
        <v>0</v>
      </c>
      <c r="Q76" s="512">
        <v>0</v>
      </c>
      <c r="R76" s="512">
        <f>Input!$G$23</f>
        <v>500</v>
      </c>
      <c r="S76" s="512">
        <f>Input!$G$24</f>
        <v>200</v>
      </c>
      <c r="T76" s="512">
        <f>Input!$G$25</f>
        <v>100</v>
      </c>
      <c r="U76" s="512">
        <f>Input!$G$26</f>
        <v>0</v>
      </c>
      <c r="V76" s="512">
        <f>Input!$G$27/Input!$D$19/Input!$D$11</f>
        <v>0</v>
      </c>
    </row>
    <row r="77" spans="1:22">
      <c r="A77" s="503" t="s">
        <v>672</v>
      </c>
      <c r="B77" s="503" t="s">
        <v>654</v>
      </c>
      <c r="C77" s="504">
        <v>750</v>
      </c>
      <c r="D77" s="507">
        <v>0</v>
      </c>
      <c r="E77" s="507">
        <v>0</v>
      </c>
      <c r="F77" s="504">
        <v>600</v>
      </c>
      <c r="G77" s="505">
        <v>750</v>
      </c>
      <c r="H77" s="505">
        <v>1650</v>
      </c>
      <c r="I77" s="505">
        <v>2250</v>
      </c>
      <c r="J77" s="505">
        <v>6400</v>
      </c>
      <c r="K77" s="505">
        <f>IF(Input!$D$11&gt;10,297.4,VLOOKUP(Input!$D$11,$A$89:$B$98,2,FALSE))</f>
        <v>297.39999999999998</v>
      </c>
      <c r="L77" s="511">
        <f t="shared" si="1"/>
        <v>500</v>
      </c>
      <c r="M77" s="504">
        <v>350</v>
      </c>
      <c r="N77" s="504">
        <v>300</v>
      </c>
      <c r="O77" s="507">
        <v>0</v>
      </c>
      <c r="P77" s="505">
        <v>0</v>
      </c>
      <c r="Q77" s="512">
        <v>0</v>
      </c>
      <c r="R77" s="512">
        <f>Input!$G$23</f>
        <v>500</v>
      </c>
      <c r="S77" s="512">
        <f>Input!$G$24</f>
        <v>200</v>
      </c>
      <c r="T77" s="512">
        <f>Input!$G$25</f>
        <v>100</v>
      </c>
      <c r="U77" s="512">
        <f>Input!$G$26</f>
        <v>0</v>
      </c>
      <c r="V77" s="512">
        <f>Input!$G$27/Input!$D$19/Input!$D$11</f>
        <v>0</v>
      </c>
    </row>
    <row r="78" spans="1:22">
      <c r="A78" s="503" t="s">
        <v>673</v>
      </c>
      <c r="B78" s="503" t="s">
        <v>654</v>
      </c>
      <c r="C78" s="504">
        <v>750</v>
      </c>
      <c r="D78" s="507">
        <v>0</v>
      </c>
      <c r="E78" s="507">
        <v>0</v>
      </c>
      <c r="F78" s="504">
        <v>600</v>
      </c>
      <c r="G78" s="505">
        <v>750</v>
      </c>
      <c r="H78" s="505">
        <v>1650</v>
      </c>
      <c r="I78" s="505">
        <v>2250</v>
      </c>
      <c r="J78" s="505">
        <v>6400</v>
      </c>
      <c r="K78" s="505">
        <f>IF(Input!$D$11&gt;10,297.4,VLOOKUP(Input!$D$11,$A$89:$B$98,2,FALSE))</f>
        <v>297.39999999999998</v>
      </c>
      <c r="L78" s="511">
        <f t="shared" si="1"/>
        <v>500</v>
      </c>
      <c r="M78" s="504">
        <v>350</v>
      </c>
      <c r="N78" s="504">
        <v>300</v>
      </c>
      <c r="O78" s="507">
        <v>0</v>
      </c>
      <c r="P78" s="505">
        <v>0</v>
      </c>
      <c r="Q78" s="512">
        <v>0</v>
      </c>
      <c r="R78" s="512">
        <f>Input!$G$23</f>
        <v>500</v>
      </c>
      <c r="S78" s="512">
        <f>Input!$G$24</f>
        <v>200</v>
      </c>
      <c r="T78" s="512">
        <f>Input!$G$25</f>
        <v>100</v>
      </c>
      <c r="U78" s="512">
        <f>Input!$G$26</f>
        <v>0</v>
      </c>
      <c r="V78" s="512">
        <f>Input!$G$27/Input!$D$19/Input!$D$11</f>
        <v>0</v>
      </c>
    </row>
    <row r="79" spans="1:22">
      <c r="A79" s="508" t="s">
        <v>726</v>
      </c>
      <c r="B79" s="503" t="s">
        <v>734</v>
      </c>
      <c r="C79" s="504">
        <v>300</v>
      </c>
      <c r="D79" s="504">
        <v>0</v>
      </c>
      <c r="E79" s="507">
        <v>0</v>
      </c>
      <c r="F79" s="504">
        <v>600</v>
      </c>
      <c r="G79" s="505"/>
      <c r="H79" s="505">
        <v>1500</v>
      </c>
      <c r="I79" s="505">
        <v>2250</v>
      </c>
      <c r="J79" s="505">
        <v>0</v>
      </c>
      <c r="K79" s="505">
        <f>IF(Input!$D$11&gt;10,297.4,VLOOKUP(Input!$D$11,$A$89:$B$98,2,FALSE))</f>
        <v>297.39999999999998</v>
      </c>
      <c r="L79" s="511">
        <f t="shared" si="1"/>
        <v>500</v>
      </c>
      <c r="M79" s="504">
        <v>350</v>
      </c>
      <c r="N79" s="504">
        <v>300</v>
      </c>
      <c r="O79" s="504">
        <v>0</v>
      </c>
      <c r="P79" s="505">
        <v>0</v>
      </c>
      <c r="Q79" s="512">
        <v>0</v>
      </c>
      <c r="R79" s="512">
        <f>Input!$G$23</f>
        <v>500</v>
      </c>
      <c r="S79" s="512">
        <f>Input!$G$24</f>
        <v>200</v>
      </c>
      <c r="T79" s="512">
        <f>Input!$G$25</f>
        <v>100</v>
      </c>
      <c r="U79" s="512">
        <f>Input!$G$26</f>
        <v>0</v>
      </c>
      <c r="V79" s="512">
        <f>Input!$G$27/Input!$D$19/Input!$D$11</f>
        <v>0</v>
      </c>
    </row>
    <row r="80" spans="1:22">
      <c r="A80" s="508" t="s">
        <v>727</v>
      </c>
      <c r="B80" s="503" t="s">
        <v>734</v>
      </c>
      <c r="C80" s="504">
        <v>300</v>
      </c>
      <c r="D80" s="504">
        <v>0</v>
      </c>
      <c r="E80" s="507">
        <v>0</v>
      </c>
      <c r="F80" s="504">
        <v>600</v>
      </c>
      <c r="G80" s="505">
        <v>0</v>
      </c>
      <c r="H80" s="505">
        <v>1650</v>
      </c>
      <c r="I80" s="505">
        <v>2250</v>
      </c>
      <c r="J80" s="505">
        <v>0</v>
      </c>
      <c r="K80" s="505">
        <f>IF(Input!$D$11&gt;10,297.4,VLOOKUP(Input!$D$11,$A$89:$B$98,2,FALSE))</f>
        <v>297.39999999999998</v>
      </c>
      <c r="L80" s="511">
        <f t="shared" si="1"/>
        <v>500</v>
      </c>
      <c r="M80" s="504">
        <v>350</v>
      </c>
      <c r="N80" s="504">
        <v>300</v>
      </c>
      <c r="O80" s="504">
        <v>0</v>
      </c>
      <c r="P80" s="505">
        <v>0</v>
      </c>
      <c r="Q80" s="512">
        <v>0</v>
      </c>
      <c r="R80" s="512">
        <f>Input!$G$23</f>
        <v>500</v>
      </c>
      <c r="S80" s="512">
        <f>Input!$G$24</f>
        <v>200</v>
      </c>
      <c r="T80" s="512">
        <f>Input!$G$25</f>
        <v>100</v>
      </c>
      <c r="U80" s="512">
        <f>Input!$G$26</f>
        <v>0</v>
      </c>
      <c r="V80" s="512">
        <f>Input!$G$27/Input!$D$19/Input!$D$11</f>
        <v>0</v>
      </c>
    </row>
    <row r="81" spans="1:22">
      <c r="A81" s="508" t="s">
        <v>728</v>
      </c>
      <c r="B81" s="503" t="s">
        <v>734</v>
      </c>
      <c r="C81" s="504">
        <v>300</v>
      </c>
      <c r="D81" s="504">
        <v>0</v>
      </c>
      <c r="E81" s="507">
        <v>0</v>
      </c>
      <c r="F81" s="504">
        <v>600</v>
      </c>
      <c r="G81" s="505">
        <v>0</v>
      </c>
      <c r="H81" s="505">
        <v>1650</v>
      </c>
      <c r="I81" s="505">
        <v>2250</v>
      </c>
      <c r="J81" s="505">
        <v>0</v>
      </c>
      <c r="K81" s="505">
        <f>IF(Input!$D$11&gt;10,297.4,VLOOKUP(Input!$D$11,$A$89:$B$98,2,FALSE))</f>
        <v>297.39999999999998</v>
      </c>
      <c r="L81" s="511">
        <f t="shared" si="1"/>
        <v>500</v>
      </c>
      <c r="M81" s="504">
        <v>350</v>
      </c>
      <c r="N81" s="504">
        <v>300</v>
      </c>
      <c r="O81" s="504">
        <v>0</v>
      </c>
      <c r="P81" s="505">
        <v>0</v>
      </c>
      <c r="Q81" s="512">
        <v>0</v>
      </c>
      <c r="R81" s="512">
        <f>Input!$G$23</f>
        <v>500</v>
      </c>
      <c r="S81" s="512">
        <f>Input!$G$24</f>
        <v>200</v>
      </c>
      <c r="T81" s="512">
        <f>Input!$G$25</f>
        <v>100</v>
      </c>
      <c r="U81" s="512">
        <f>Input!$G$26</f>
        <v>0</v>
      </c>
      <c r="V81" s="512">
        <f>Input!$G$27/Input!$D$19/Input!$D$11</f>
        <v>0</v>
      </c>
    </row>
    <row r="82" spans="1:22">
      <c r="A82" s="508" t="s">
        <v>729</v>
      </c>
      <c r="B82" s="503" t="s">
        <v>734</v>
      </c>
      <c r="C82" s="504">
        <v>300</v>
      </c>
      <c r="D82" s="504">
        <v>0</v>
      </c>
      <c r="E82" s="507">
        <v>0</v>
      </c>
      <c r="F82" s="504">
        <v>600</v>
      </c>
      <c r="G82" s="505">
        <v>0</v>
      </c>
      <c r="H82" s="505">
        <v>1650</v>
      </c>
      <c r="I82" s="505">
        <v>2250</v>
      </c>
      <c r="J82" s="505">
        <v>0</v>
      </c>
      <c r="K82" s="505">
        <f>IF(Input!$D$11&gt;10,297.4,VLOOKUP(Input!$D$11,$A$89:$B$98,2,FALSE))</f>
        <v>297.39999999999998</v>
      </c>
      <c r="L82" s="511">
        <f t="shared" si="1"/>
        <v>500</v>
      </c>
      <c r="M82" s="504">
        <v>350</v>
      </c>
      <c r="N82" s="504">
        <v>300</v>
      </c>
      <c r="O82" s="504">
        <v>0</v>
      </c>
      <c r="P82" s="505">
        <v>0</v>
      </c>
      <c r="Q82" s="512">
        <v>0</v>
      </c>
      <c r="R82" s="512">
        <f>Input!$G$23</f>
        <v>500</v>
      </c>
      <c r="S82" s="512">
        <f>Input!$G$24</f>
        <v>200</v>
      </c>
      <c r="T82" s="512">
        <f>Input!$G$25</f>
        <v>100</v>
      </c>
      <c r="U82" s="512">
        <f>Input!$G$26</f>
        <v>0</v>
      </c>
      <c r="V82" s="512">
        <f>Input!$G$27/Input!$D$19/Input!$D$11</f>
        <v>0</v>
      </c>
    </row>
    <row r="83" spans="1:22">
      <c r="A83" s="508" t="s">
        <v>730</v>
      </c>
      <c r="B83" s="503" t="s">
        <v>734</v>
      </c>
      <c r="C83" s="504">
        <v>300</v>
      </c>
      <c r="D83" s="504">
        <v>0</v>
      </c>
      <c r="E83" s="507">
        <v>0</v>
      </c>
      <c r="F83" s="504">
        <v>600</v>
      </c>
      <c r="G83" s="505">
        <v>0</v>
      </c>
      <c r="H83" s="505">
        <v>1650</v>
      </c>
      <c r="I83" s="505">
        <v>2250</v>
      </c>
      <c r="J83" s="505">
        <v>0</v>
      </c>
      <c r="K83" s="505">
        <f>IF(Input!$D$11&gt;10,297.4,VLOOKUP(Input!$D$11,$A$89:$B$98,2,FALSE))</f>
        <v>297.39999999999998</v>
      </c>
      <c r="L83" s="511">
        <f t="shared" si="1"/>
        <v>500</v>
      </c>
      <c r="M83" s="504">
        <v>350</v>
      </c>
      <c r="N83" s="504">
        <v>300</v>
      </c>
      <c r="O83" s="504">
        <v>0</v>
      </c>
      <c r="P83" s="505">
        <v>0</v>
      </c>
      <c r="Q83" s="512">
        <v>0</v>
      </c>
      <c r="R83" s="512">
        <f>Input!$G$23</f>
        <v>500</v>
      </c>
      <c r="S83" s="512">
        <f>Input!$G$24</f>
        <v>200</v>
      </c>
      <c r="T83" s="512">
        <f>Input!$G$25</f>
        <v>100</v>
      </c>
      <c r="U83" s="512">
        <f>Input!$G$26</f>
        <v>0</v>
      </c>
      <c r="V83" s="512">
        <f>Input!$G$27/Input!$D$19/Input!$D$11</f>
        <v>0</v>
      </c>
    </row>
    <row r="84" spans="1:22">
      <c r="A84" s="508" t="s">
        <v>731</v>
      </c>
      <c r="B84" s="503" t="s">
        <v>734</v>
      </c>
      <c r="C84" s="504">
        <v>300</v>
      </c>
      <c r="D84" s="504">
        <v>0</v>
      </c>
      <c r="E84" s="507">
        <v>0</v>
      </c>
      <c r="F84" s="504">
        <v>600</v>
      </c>
      <c r="G84" s="505">
        <v>0</v>
      </c>
      <c r="H84" s="505">
        <v>1650</v>
      </c>
      <c r="I84" s="505">
        <v>2250</v>
      </c>
      <c r="J84" s="505">
        <v>0</v>
      </c>
      <c r="K84" s="505">
        <f>IF(Input!$D$11&gt;10,297.4,VLOOKUP(Input!$D$11,$A$89:$B$98,2,FALSE))</f>
        <v>297.39999999999998</v>
      </c>
      <c r="L84" s="511">
        <f t="shared" si="1"/>
        <v>500</v>
      </c>
      <c r="M84" s="504">
        <v>350</v>
      </c>
      <c r="N84" s="504">
        <v>300</v>
      </c>
      <c r="O84" s="504">
        <v>0</v>
      </c>
      <c r="P84" s="505">
        <v>0</v>
      </c>
      <c r="Q84" s="512">
        <v>0</v>
      </c>
      <c r="R84" s="512">
        <f>Input!$G$23</f>
        <v>500</v>
      </c>
      <c r="S84" s="512">
        <f>Input!$G$24</f>
        <v>200</v>
      </c>
      <c r="T84" s="512">
        <f>Input!$G$25</f>
        <v>100</v>
      </c>
      <c r="U84" s="512">
        <f>Input!$G$26</f>
        <v>0</v>
      </c>
      <c r="V84" s="512">
        <f>Input!$G$27/Input!$D$19/Input!$D$11</f>
        <v>0</v>
      </c>
    </row>
    <row r="85" spans="1:22">
      <c r="A85" s="508" t="s">
        <v>732</v>
      </c>
      <c r="B85" s="503" t="s">
        <v>734</v>
      </c>
      <c r="C85" s="504">
        <v>300</v>
      </c>
      <c r="D85" s="504">
        <v>0</v>
      </c>
      <c r="E85" s="507">
        <v>0</v>
      </c>
      <c r="F85" s="504">
        <v>600</v>
      </c>
      <c r="G85" s="505">
        <v>0</v>
      </c>
      <c r="H85" s="505">
        <v>1650</v>
      </c>
      <c r="I85" s="505">
        <v>2250</v>
      </c>
      <c r="J85" s="505">
        <v>0</v>
      </c>
      <c r="K85" s="505">
        <f>IF(Input!$D$11&gt;10,297.4,VLOOKUP(Input!$D$11,$A$89:$B$98,2,FALSE))</f>
        <v>297.39999999999998</v>
      </c>
      <c r="L85" s="511">
        <f t="shared" si="1"/>
        <v>500</v>
      </c>
      <c r="M85" s="504">
        <v>350</v>
      </c>
      <c r="N85" s="504">
        <v>300</v>
      </c>
      <c r="O85" s="504">
        <v>0</v>
      </c>
      <c r="P85" s="505">
        <v>0</v>
      </c>
      <c r="Q85" s="512">
        <v>0</v>
      </c>
      <c r="R85" s="512">
        <f>Input!$G$23</f>
        <v>500</v>
      </c>
      <c r="S85" s="512">
        <f>Input!$G$24</f>
        <v>200</v>
      </c>
      <c r="T85" s="512">
        <f>Input!$G$25</f>
        <v>100</v>
      </c>
      <c r="U85" s="512">
        <f>Input!$G$26</f>
        <v>0</v>
      </c>
      <c r="V85" s="512">
        <f>Input!$G$27/Input!$D$19/Input!$D$11</f>
        <v>0</v>
      </c>
    </row>
    <row r="86" spans="1:22">
      <c r="A86" s="504" t="s">
        <v>733</v>
      </c>
      <c r="B86" s="503" t="s">
        <v>734</v>
      </c>
      <c r="C86" s="504">
        <v>300</v>
      </c>
      <c r="D86" s="504">
        <v>0</v>
      </c>
      <c r="E86" s="507">
        <v>0</v>
      </c>
      <c r="F86" s="504">
        <v>600</v>
      </c>
      <c r="G86" s="505">
        <v>0</v>
      </c>
      <c r="H86" s="505">
        <v>1650</v>
      </c>
      <c r="I86" s="505">
        <v>2250</v>
      </c>
      <c r="J86" s="505">
        <v>0</v>
      </c>
      <c r="K86" s="505">
        <f>IF(Input!$D$11&gt;10,297.4,VLOOKUP(Input!$D$11,$A$89:$B$98,2,FALSE))</f>
        <v>297.39999999999998</v>
      </c>
      <c r="L86" s="511">
        <f t="shared" si="1"/>
        <v>500</v>
      </c>
      <c r="M86" s="504">
        <v>350</v>
      </c>
      <c r="N86" s="504">
        <v>300</v>
      </c>
      <c r="O86" s="504">
        <v>0</v>
      </c>
      <c r="P86" s="505">
        <v>0</v>
      </c>
      <c r="Q86" s="512">
        <v>0</v>
      </c>
      <c r="R86" s="512">
        <f>Input!$G$23</f>
        <v>500</v>
      </c>
      <c r="S86" s="512">
        <f>Input!$G$24</f>
        <v>200</v>
      </c>
      <c r="T86" s="512">
        <f>Input!$G$25</f>
        <v>100</v>
      </c>
      <c r="U86" s="512">
        <f>Input!$G$26</f>
        <v>0</v>
      </c>
      <c r="V86" s="512">
        <f>Input!$G$27/Input!$D$19/Input!$D$11</f>
        <v>0</v>
      </c>
    </row>
    <row r="87" spans="1:22">
      <c r="A87" s="500" t="s">
        <v>770</v>
      </c>
    </row>
    <row r="88" spans="1:22">
      <c r="A88" s="336" t="s">
        <v>741</v>
      </c>
      <c r="B88" s="336" t="s">
        <v>743</v>
      </c>
    </row>
    <row r="89" spans="1:22">
      <c r="A89" s="336">
        <v>1</v>
      </c>
      <c r="B89" s="336">
        <v>453.15</v>
      </c>
    </row>
    <row r="90" spans="1:22">
      <c r="A90" s="336">
        <v>2</v>
      </c>
      <c r="B90" s="336">
        <v>453.15</v>
      </c>
    </row>
    <row r="91" spans="1:22">
      <c r="A91" s="336">
        <v>3</v>
      </c>
      <c r="B91" s="336">
        <v>453.15</v>
      </c>
    </row>
    <row r="92" spans="1:22">
      <c r="A92" s="336">
        <v>4</v>
      </c>
      <c r="B92" s="336">
        <v>453.15</v>
      </c>
    </row>
    <row r="93" spans="1:22">
      <c r="A93" s="336">
        <v>5</v>
      </c>
      <c r="B93" s="336">
        <v>380.16</v>
      </c>
    </row>
    <row r="94" spans="1:22">
      <c r="A94" s="336">
        <v>6</v>
      </c>
      <c r="B94" s="336">
        <v>380.16</v>
      </c>
    </row>
    <row r="95" spans="1:22">
      <c r="A95" s="336">
        <v>7</v>
      </c>
      <c r="B95" s="336">
        <v>343.33</v>
      </c>
    </row>
    <row r="96" spans="1:22">
      <c r="A96" s="336">
        <v>8</v>
      </c>
      <c r="B96" s="336">
        <v>303.63</v>
      </c>
    </row>
    <row r="97" spans="1:2">
      <c r="A97" s="336">
        <v>9</v>
      </c>
      <c r="B97" s="336">
        <v>303.63</v>
      </c>
    </row>
    <row r="98" spans="1:2">
      <c r="A98" s="336">
        <v>10</v>
      </c>
      <c r="B98" s="336">
        <v>303.63</v>
      </c>
    </row>
    <row r="99" spans="1:2">
      <c r="A99" s="336"/>
      <c r="B99" s="336"/>
    </row>
  </sheetData>
  <sheetProtection algorithmName="SHA-512" hashValue="jMfFQ99oibinAaLX8Wh2CTN/EU1ymAePsK9taPIgbwnJzWbaH/2r8/mgnVlIGUrCqLi8b5HuFqBj4htQ3qaVMA==" saltValue="afeN84zqKjirfgXxeFSjjw==" spinCount="100000" sheet="1" objects="1" scenarios="1"/>
  <mergeCells count="1">
    <mergeCell ref="G2:H2"/>
  </mergeCells>
  <conditionalFormatting sqref="D1">
    <cfRule type="expression" dxfId="13" priority="11">
      <formula>$D$18="VWmGKR"</formula>
    </cfRule>
  </conditionalFormatting>
  <conditionalFormatting sqref="F1">
    <cfRule type="expression" dxfId="12" priority="10">
      <formula>$D$18="VWmGKR"</formula>
    </cfRule>
  </conditionalFormatting>
  <conditionalFormatting sqref="I1">
    <cfRule type="expression" dxfId="11" priority="9">
      <formula>$D$18="VWmGKR"</formula>
    </cfRule>
  </conditionalFormatting>
  <conditionalFormatting sqref="D2:D3">
    <cfRule type="expression" dxfId="10" priority="7">
      <formula>$D$18="VWmGKR"</formula>
    </cfRule>
  </conditionalFormatting>
  <conditionalFormatting sqref="F2:F3">
    <cfRule type="expression" dxfId="9" priority="6">
      <formula>$D$18="VWmGKR"</formula>
    </cfRule>
  </conditionalFormatting>
  <conditionalFormatting sqref="I2:I3">
    <cfRule type="expression" dxfId="8" priority="5">
      <formula>$D$18="VWmGKR"</formula>
    </cfRule>
  </conditionalFormatting>
  <conditionalFormatting sqref="Q3:S3">
    <cfRule type="expression" dxfId="7" priority="4">
      <formula>$D$18="VWmGKR"</formula>
    </cfRule>
  </conditionalFormatting>
  <conditionalFormatting sqref="Z4">
    <cfRule type="expression" dxfId="6" priority="3">
      <formula>OR($D$17="Basic",$D$17="Basic +",$D$17="VWoGK",$D$17="VWmGK",$D$17="VWmGKR",$D$17="VVW")</formula>
    </cfRule>
  </conditionalFormatting>
  <conditionalFormatting sqref="Z5:Z6">
    <cfRule type="expression" dxfId="5" priority="2">
      <formula>OR($D$17="VWmGK",$D$17="VWmGKR",$D$17="VVW")</formula>
    </cfRule>
  </conditionalFormatting>
  <conditionalFormatting sqref="R2">
    <cfRule type="expression" dxfId="4" priority="1">
      <formula>$D$17="VVW"</formula>
    </cfRule>
  </conditionalFormatting>
  <pageMargins left="0.7" right="0.7" top="0.78740157499999996" bottom="0.78740157499999996" header="0.3" footer="0.3"/>
  <legacy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4"/>
  <dimension ref="A1:AG102"/>
  <sheetViews>
    <sheetView topLeftCell="B1" zoomScale="55" zoomScaleNormal="55" workbookViewId="0">
      <selection activeCell="G39" sqref="G39"/>
    </sheetView>
  </sheetViews>
  <sheetFormatPr baseColWidth="10" defaultRowHeight="15"/>
  <cols>
    <col min="2" max="2" width="15.7109375" customWidth="1"/>
    <col min="3" max="3" width="20.7109375" customWidth="1"/>
    <col min="4" max="4" width="16.140625" customWidth="1"/>
    <col min="5" max="5" width="16.85546875" customWidth="1"/>
    <col min="6" max="6" width="14.85546875" customWidth="1"/>
    <col min="7" max="7" width="14.7109375" customWidth="1"/>
    <col min="8" max="8" width="16.85546875" customWidth="1"/>
    <col min="9" max="9" width="17.85546875" customWidth="1"/>
    <col min="10" max="10" width="16.85546875" customWidth="1"/>
    <col min="11" max="11" width="20.28515625" customWidth="1"/>
    <col min="12" max="12" width="16.5703125" customWidth="1"/>
    <col min="14" max="14" width="15.140625" customWidth="1"/>
    <col min="18" max="18" width="15.5703125" customWidth="1"/>
    <col min="20" max="20" width="13.28515625" customWidth="1"/>
    <col min="21" max="21" width="14.140625" customWidth="1"/>
    <col min="22" max="22" width="13.42578125" customWidth="1"/>
  </cols>
  <sheetData>
    <row r="1" spans="1:33">
      <c r="A1" t="s">
        <v>444</v>
      </c>
    </row>
    <row r="3" spans="1:33">
      <c r="A3" s="38" t="s">
        <v>243</v>
      </c>
      <c r="B3" s="38" t="s">
        <v>316</v>
      </c>
      <c r="C3" s="42" t="s">
        <v>315</v>
      </c>
      <c r="D3" s="38" t="s">
        <v>314</v>
      </c>
      <c r="E3" s="38" t="s">
        <v>313</v>
      </c>
      <c r="F3" s="38" t="s">
        <v>312</v>
      </c>
      <c r="G3" s="38" t="s">
        <v>311</v>
      </c>
      <c r="H3" s="38" t="s">
        <v>310</v>
      </c>
      <c r="I3" s="38" t="s">
        <v>309</v>
      </c>
      <c r="J3" s="41" t="s">
        <v>308</v>
      </c>
      <c r="K3" s="41" t="s">
        <v>307</v>
      </c>
      <c r="L3" s="41" t="s">
        <v>306</v>
      </c>
      <c r="M3" s="38" t="s">
        <v>305</v>
      </c>
      <c r="N3" s="41" t="s">
        <v>304</v>
      </c>
      <c r="O3" s="40" t="s">
        <v>303</v>
      </c>
      <c r="P3" s="39" t="s">
        <v>302</v>
      </c>
      <c r="R3" t="s">
        <v>81</v>
      </c>
      <c r="S3" t="s">
        <v>550</v>
      </c>
      <c r="T3" t="s">
        <v>551</v>
      </c>
      <c r="U3" s="169"/>
      <c r="V3" s="169"/>
      <c r="W3" s="169"/>
      <c r="X3" s="169"/>
      <c r="Y3" s="169"/>
    </row>
    <row r="4" spans="1:33">
      <c r="A4" s="38">
        <v>2015</v>
      </c>
      <c r="B4" t="s">
        <v>443</v>
      </c>
      <c r="C4" s="37" t="s">
        <v>442</v>
      </c>
      <c r="D4">
        <v>76849.2</v>
      </c>
      <c r="E4">
        <v>31085.89</v>
      </c>
      <c r="F4">
        <v>25000</v>
      </c>
      <c r="G4" t="s">
        <v>441</v>
      </c>
      <c r="H4" t="s">
        <v>181</v>
      </c>
      <c r="I4">
        <v>42030</v>
      </c>
      <c r="J4" s="36">
        <v>20763.310000000001</v>
      </c>
      <c r="K4" s="36">
        <v>3881.7</v>
      </c>
      <c r="L4" s="36">
        <v>24645.010000000002</v>
      </c>
      <c r="M4">
        <v>0.32069312367597846</v>
      </c>
      <c r="N4" s="36">
        <v>-46210.700000000004</v>
      </c>
      <c r="O4" s="35">
        <v>0.5333182574598524</v>
      </c>
      <c r="P4" s="877">
        <f>AVERAGE(O4:O18)</f>
        <v>0.47479834725283737</v>
      </c>
      <c r="R4" s="341" t="s">
        <v>85</v>
      </c>
      <c r="S4" s="168">
        <v>0</v>
      </c>
      <c r="T4" s="168">
        <v>0</v>
      </c>
      <c r="U4" s="170"/>
      <c r="V4" s="171"/>
      <c r="W4" s="171"/>
      <c r="X4" s="171"/>
      <c r="Y4" s="171"/>
    </row>
    <row r="5" spans="1:33">
      <c r="B5" t="s">
        <v>440</v>
      </c>
      <c r="C5" s="37" t="s">
        <v>439</v>
      </c>
      <c r="D5">
        <v>214889.04</v>
      </c>
      <c r="E5">
        <v>132588.82999999999</v>
      </c>
      <c r="F5">
        <v>25000</v>
      </c>
      <c r="G5" t="s">
        <v>434</v>
      </c>
      <c r="H5" t="s">
        <v>433</v>
      </c>
      <c r="I5">
        <v>42124</v>
      </c>
      <c r="J5" s="36">
        <v>57300.21</v>
      </c>
      <c r="K5" s="36">
        <v>9568.4500000000007</v>
      </c>
      <c r="L5" s="36">
        <v>66868.66</v>
      </c>
      <c r="M5">
        <v>0.31117761985441417</v>
      </c>
      <c r="N5" s="36">
        <v>-165971</v>
      </c>
      <c r="O5" s="35">
        <v>0.40289363804520067</v>
      </c>
      <c r="P5" s="878"/>
      <c r="R5" s="341" t="s">
        <v>91</v>
      </c>
      <c r="S5" s="168">
        <v>0</v>
      </c>
      <c r="T5" s="168">
        <v>0</v>
      </c>
      <c r="U5" s="172"/>
      <c r="V5" s="172"/>
      <c r="W5" s="172"/>
      <c r="X5" s="172"/>
      <c r="Y5" s="172"/>
    </row>
    <row r="6" spans="1:33">
      <c r="B6" t="s">
        <v>438</v>
      </c>
      <c r="C6" s="37" t="s">
        <v>437</v>
      </c>
      <c r="D6">
        <v>61267.21</v>
      </c>
      <c r="E6">
        <v>28500.92</v>
      </c>
      <c r="F6">
        <v>25000</v>
      </c>
      <c r="G6" t="s">
        <v>268</v>
      </c>
      <c r="H6" t="s">
        <v>181</v>
      </c>
      <c r="I6">
        <v>42006</v>
      </c>
      <c r="J6" s="36">
        <v>7766.29</v>
      </c>
      <c r="K6" s="36">
        <v>8351.94</v>
      </c>
      <c r="L6" s="36">
        <v>16118.23</v>
      </c>
      <c r="M6">
        <v>0.26308085515890145</v>
      </c>
      <c r="N6" s="36">
        <v>-44088</v>
      </c>
      <c r="O6" s="35">
        <v>0.36559222464162583</v>
      </c>
      <c r="P6" s="878"/>
      <c r="R6" s="144" t="s">
        <v>17</v>
      </c>
      <c r="S6" s="145">
        <v>1.0129999999999999</v>
      </c>
      <c r="T6" s="149">
        <v>1.266</v>
      </c>
      <c r="U6" s="172"/>
      <c r="V6" s="172"/>
      <c r="W6" s="172"/>
      <c r="X6" s="172"/>
      <c r="Y6" s="172"/>
    </row>
    <row r="7" spans="1:33">
      <c r="B7" t="s">
        <v>436</v>
      </c>
      <c r="C7" s="37" t="s">
        <v>435</v>
      </c>
      <c r="D7">
        <v>216189.29</v>
      </c>
      <c r="E7">
        <v>133684.45000000001</v>
      </c>
      <c r="F7">
        <v>25000</v>
      </c>
      <c r="G7" t="s">
        <v>434</v>
      </c>
      <c r="H7" t="s">
        <v>433</v>
      </c>
      <c r="I7">
        <v>42123</v>
      </c>
      <c r="J7" s="36">
        <v>57504.84</v>
      </c>
      <c r="K7" s="36">
        <v>6196.02</v>
      </c>
      <c r="L7" s="36">
        <v>63700.86</v>
      </c>
      <c r="M7">
        <v>0.29465317176442923</v>
      </c>
      <c r="N7" s="36">
        <v>-163245</v>
      </c>
      <c r="O7" s="35">
        <v>0.39021630065239366</v>
      </c>
      <c r="P7" s="878"/>
      <c r="R7" s="144" t="s">
        <v>501</v>
      </c>
      <c r="S7" s="145">
        <v>1.0229999999999999</v>
      </c>
      <c r="T7" s="149">
        <v>1.2789999999999999</v>
      </c>
      <c r="U7" s="172"/>
      <c r="V7" s="172"/>
      <c r="W7" s="172"/>
      <c r="X7" s="172"/>
      <c r="Y7" s="172"/>
    </row>
    <row r="8" spans="1:33">
      <c r="B8" t="s">
        <v>432</v>
      </c>
      <c r="C8" s="37" t="s">
        <v>431</v>
      </c>
      <c r="D8">
        <v>104676.41</v>
      </c>
      <c r="E8">
        <v>47777.67</v>
      </c>
      <c r="F8">
        <v>25000</v>
      </c>
      <c r="G8" t="s">
        <v>430</v>
      </c>
      <c r="H8" t="s">
        <v>181</v>
      </c>
      <c r="I8">
        <v>42107</v>
      </c>
      <c r="J8" s="36">
        <v>31898.74</v>
      </c>
      <c r="K8" s="36">
        <v>3785.36</v>
      </c>
      <c r="L8" s="36">
        <v>35684.1</v>
      </c>
      <c r="M8">
        <v>0.34089915769942813</v>
      </c>
      <c r="N8" s="36">
        <v>-69693</v>
      </c>
      <c r="O8" s="35">
        <v>0.51201842365804306</v>
      </c>
      <c r="P8" s="878"/>
      <c r="R8" s="144" t="s">
        <v>502</v>
      </c>
      <c r="S8" s="145">
        <v>1.323</v>
      </c>
      <c r="T8" s="149">
        <v>1.579</v>
      </c>
      <c r="U8" s="172"/>
      <c r="V8" s="172"/>
      <c r="W8" s="172"/>
      <c r="X8" s="172"/>
      <c r="Y8" s="172"/>
    </row>
    <row r="9" spans="1:33">
      <c r="B9" t="s">
        <v>429</v>
      </c>
      <c r="C9" s="37" t="s">
        <v>428</v>
      </c>
      <c r="D9">
        <v>461925.64</v>
      </c>
      <c r="E9">
        <v>248902.48</v>
      </c>
      <c r="F9">
        <v>75000</v>
      </c>
      <c r="G9" t="s">
        <v>299</v>
      </c>
      <c r="H9" t="s">
        <v>264</v>
      </c>
      <c r="I9">
        <v>42068</v>
      </c>
      <c r="J9" s="36">
        <v>138023.16</v>
      </c>
      <c r="K9" s="36">
        <v>12118.59</v>
      </c>
      <c r="L9" s="36">
        <v>150141.75</v>
      </c>
      <c r="M9">
        <v>0.32503445792703778</v>
      </c>
      <c r="N9" s="36">
        <v>-274141</v>
      </c>
      <c r="O9" s="35">
        <v>0.54768075552361739</v>
      </c>
      <c r="P9" s="878"/>
      <c r="R9" s="147" t="s">
        <v>503</v>
      </c>
      <c r="S9" s="148">
        <v>1.571</v>
      </c>
      <c r="T9" s="149">
        <v>1.964</v>
      </c>
    </row>
    <row r="10" spans="1:33">
      <c r="B10" t="s">
        <v>427</v>
      </c>
      <c r="C10" s="37" t="s">
        <v>426</v>
      </c>
      <c r="D10">
        <v>200399.34</v>
      </c>
      <c r="E10">
        <v>139534.31</v>
      </c>
      <c r="F10">
        <v>25000</v>
      </c>
      <c r="G10" t="s">
        <v>425</v>
      </c>
      <c r="H10" t="s">
        <v>244</v>
      </c>
      <c r="I10">
        <v>42137</v>
      </c>
      <c r="J10" s="36">
        <v>35865.03</v>
      </c>
      <c r="K10" s="36">
        <v>0</v>
      </c>
      <c r="L10" s="36">
        <v>35865.03</v>
      </c>
      <c r="M10">
        <v>0.17896780498378886</v>
      </c>
      <c r="N10" s="36">
        <v>-176483</v>
      </c>
      <c r="O10" s="35">
        <v>0.20322087679833184</v>
      </c>
      <c r="P10" s="878"/>
      <c r="AB10" s="146"/>
      <c r="AC10" s="146"/>
      <c r="AD10" s="146"/>
      <c r="AE10" s="146"/>
      <c r="AF10" s="146"/>
      <c r="AG10" s="146"/>
    </row>
    <row r="11" spans="1:33">
      <c r="B11" t="s">
        <v>424</v>
      </c>
      <c r="C11" s="37" t="s">
        <v>423</v>
      </c>
      <c r="D11">
        <v>361748.26</v>
      </c>
      <c r="E11">
        <v>258693.79</v>
      </c>
      <c r="F11">
        <v>25000</v>
      </c>
      <c r="G11" t="s">
        <v>367</v>
      </c>
      <c r="H11" t="s">
        <v>337</v>
      </c>
      <c r="I11">
        <v>42019</v>
      </c>
      <c r="J11" s="36">
        <v>78054.47</v>
      </c>
      <c r="K11" s="36">
        <v>57448.52</v>
      </c>
      <c r="L11" s="36">
        <v>135502.99</v>
      </c>
      <c r="M11">
        <v>0.37457813895220943</v>
      </c>
      <c r="N11" s="36">
        <v>-234732</v>
      </c>
      <c r="O11" s="35">
        <v>0.57726679788013557</v>
      </c>
      <c r="P11" s="878"/>
      <c r="R11" t="s">
        <v>504</v>
      </c>
      <c r="AB11" s="145"/>
      <c r="AC11" s="145"/>
      <c r="AD11" s="145"/>
      <c r="AE11" s="145"/>
      <c r="AF11" s="145"/>
      <c r="AG11" s="145"/>
    </row>
    <row r="12" spans="1:33">
      <c r="B12" t="s">
        <v>422</v>
      </c>
      <c r="C12" s="37" t="s">
        <v>421</v>
      </c>
      <c r="D12">
        <v>235366.05</v>
      </c>
      <c r="E12">
        <v>145551.38</v>
      </c>
      <c r="F12">
        <v>25000</v>
      </c>
      <c r="G12" t="s">
        <v>340</v>
      </c>
      <c r="H12" t="s">
        <v>244</v>
      </c>
      <c r="I12">
        <v>42143</v>
      </c>
      <c r="J12" s="36">
        <v>64814.67</v>
      </c>
      <c r="K12" s="36">
        <v>1638.85</v>
      </c>
      <c r="L12" s="36">
        <v>66453.52</v>
      </c>
      <c r="M12">
        <v>0.28234114478277561</v>
      </c>
      <c r="N12" s="36">
        <v>-182286.48</v>
      </c>
      <c r="O12" s="35">
        <v>0.3645553965384597</v>
      </c>
      <c r="P12" s="878"/>
      <c r="R12" t="s">
        <v>505</v>
      </c>
      <c r="AB12" s="145"/>
      <c r="AC12" s="145"/>
      <c r="AD12" s="145"/>
      <c r="AE12" s="145"/>
      <c r="AF12" s="145"/>
      <c r="AG12" s="145"/>
    </row>
    <row r="13" spans="1:33">
      <c r="B13" t="s">
        <v>420</v>
      </c>
      <c r="C13" s="37" t="s">
        <v>419</v>
      </c>
      <c r="D13">
        <v>82076.039999999994</v>
      </c>
      <c r="E13">
        <v>37931.69</v>
      </c>
      <c r="F13">
        <v>25000</v>
      </c>
      <c r="G13" t="s">
        <v>418</v>
      </c>
      <c r="H13" t="s">
        <v>295</v>
      </c>
      <c r="I13">
        <v>42205</v>
      </c>
      <c r="J13" s="36">
        <v>19144.349999999999</v>
      </c>
      <c r="K13" s="36">
        <v>437.38</v>
      </c>
      <c r="L13" s="36">
        <v>19581.73</v>
      </c>
      <c r="M13">
        <v>0.23858034573792791</v>
      </c>
      <c r="N13" s="36">
        <v>-58735</v>
      </c>
      <c r="O13" s="35">
        <v>0.33339116370137056</v>
      </c>
      <c r="P13" s="878"/>
      <c r="AB13" s="145"/>
      <c r="AC13" s="145"/>
      <c r="AD13" s="145"/>
      <c r="AE13" s="145"/>
      <c r="AF13" s="145"/>
      <c r="AG13" s="145"/>
    </row>
    <row r="14" spans="1:33">
      <c r="B14" t="s">
        <v>417</v>
      </c>
      <c r="C14" s="37" t="s">
        <v>416</v>
      </c>
      <c r="D14">
        <v>238291.45</v>
      </c>
      <c r="E14">
        <v>120225.95</v>
      </c>
      <c r="F14">
        <v>25000</v>
      </c>
      <c r="G14" t="s">
        <v>340</v>
      </c>
      <c r="H14" t="s">
        <v>244</v>
      </c>
      <c r="I14">
        <v>42142</v>
      </c>
      <c r="J14" s="36">
        <v>93065.5</v>
      </c>
      <c r="K14" s="36">
        <v>623.5</v>
      </c>
      <c r="L14" s="36">
        <v>93689</v>
      </c>
      <c r="M14">
        <v>0.39316979270552926</v>
      </c>
      <c r="N14" s="36">
        <v>-184615</v>
      </c>
      <c r="O14" s="35">
        <v>0.5074831405898762</v>
      </c>
      <c r="P14" s="878"/>
      <c r="AB14" s="148"/>
      <c r="AC14" s="148"/>
      <c r="AD14" s="148"/>
      <c r="AE14" s="148"/>
      <c r="AF14" s="148"/>
      <c r="AG14" s="148"/>
    </row>
    <row r="15" spans="1:33">
      <c r="B15" t="s">
        <v>415</v>
      </c>
      <c r="C15" s="37">
        <v>14001135</v>
      </c>
      <c r="D15">
        <v>241933.97</v>
      </c>
      <c r="E15">
        <v>147440.20000000001</v>
      </c>
      <c r="F15">
        <v>25000</v>
      </c>
      <c r="G15" t="s">
        <v>274</v>
      </c>
      <c r="H15" t="s">
        <v>244</v>
      </c>
      <c r="I15">
        <v>42257</v>
      </c>
      <c r="J15" s="36">
        <v>69493.77</v>
      </c>
      <c r="K15" s="36">
        <v>0</v>
      </c>
      <c r="L15" s="36">
        <v>69493.77</v>
      </c>
      <c r="M15">
        <v>0.28724271337340518</v>
      </c>
      <c r="N15" s="36">
        <v>-177747</v>
      </c>
      <c r="O15" s="35">
        <v>0.3909701429559993</v>
      </c>
      <c r="P15" s="878"/>
    </row>
    <row r="16" spans="1:33">
      <c r="B16" t="s">
        <v>414</v>
      </c>
      <c r="C16" s="37" t="s">
        <v>413</v>
      </c>
      <c r="D16">
        <v>253880.59</v>
      </c>
      <c r="E16">
        <v>156472.09</v>
      </c>
      <c r="F16">
        <v>25000</v>
      </c>
      <c r="G16" t="s">
        <v>248</v>
      </c>
      <c r="H16" t="s">
        <v>244</v>
      </c>
      <c r="I16">
        <v>42193</v>
      </c>
      <c r="J16" s="36">
        <v>72408.5</v>
      </c>
      <c r="K16" s="36">
        <v>2501.63</v>
      </c>
      <c r="L16" s="36">
        <v>74910.13</v>
      </c>
      <c r="M16">
        <v>0.29506048493112452</v>
      </c>
      <c r="N16" s="36">
        <v>-200887</v>
      </c>
      <c r="O16" s="35">
        <v>0.37289685245934284</v>
      </c>
      <c r="P16" s="878"/>
    </row>
    <row r="17" spans="1:20">
      <c r="B17" t="s">
        <v>412</v>
      </c>
      <c r="C17" s="37">
        <v>14000391</v>
      </c>
      <c r="D17">
        <v>103953.23</v>
      </c>
      <c r="E17">
        <v>46804.2</v>
      </c>
      <c r="F17">
        <v>25000</v>
      </c>
      <c r="G17" t="s">
        <v>258</v>
      </c>
      <c r="H17" t="s">
        <v>181</v>
      </c>
      <c r="I17">
        <v>42266</v>
      </c>
      <c r="J17" s="36">
        <v>32149.03</v>
      </c>
      <c r="K17" s="36">
        <v>9848.52</v>
      </c>
      <c r="L17" s="36">
        <v>41997.55</v>
      </c>
      <c r="M17">
        <v>0.404004281540843</v>
      </c>
      <c r="N17" s="36">
        <v>-46333</v>
      </c>
      <c r="O17" s="35">
        <v>0.90642846351412609</v>
      </c>
      <c r="P17" s="878"/>
      <c r="T17" s="43"/>
    </row>
    <row r="18" spans="1:20">
      <c r="B18" t="s">
        <v>411</v>
      </c>
      <c r="C18" s="37">
        <v>14004580</v>
      </c>
      <c r="D18">
        <v>104524.38</v>
      </c>
      <c r="E18">
        <v>46972</v>
      </c>
      <c r="F18">
        <v>25000</v>
      </c>
      <c r="G18" t="s">
        <v>410</v>
      </c>
      <c r="H18" t="s">
        <v>181</v>
      </c>
      <c r="I18">
        <v>42326</v>
      </c>
      <c r="J18" s="36">
        <v>32552.38</v>
      </c>
      <c r="K18" s="36">
        <v>18962.95</v>
      </c>
      <c r="L18" s="36">
        <v>51515.33</v>
      </c>
      <c r="M18">
        <v>0.49285468136716049</v>
      </c>
      <c r="N18" s="36">
        <v>-72146</v>
      </c>
      <c r="O18" s="35">
        <v>0.71404277437418573</v>
      </c>
      <c r="P18" s="878"/>
    </row>
    <row r="19" spans="1:20">
      <c r="A19" s="38" t="s">
        <v>243</v>
      </c>
      <c r="B19" s="38" t="s">
        <v>316</v>
      </c>
      <c r="C19" s="42" t="s">
        <v>315</v>
      </c>
      <c r="D19" s="38" t="s">
        <v>314</v>
      </c>
      <c r="E19" s="38" t="s">
        <v>313</v>
      </c>
      <c r="F19" s="38" t="s">
        <v>312</v>
      </c>
      <c r="G19" s="38" t="s">
        <v>311</v>
      </c>
      <c r="H19" s="38" t="s">
        <v>310</v>
      </c>
      <c r="I19" s="38" t="s">
        <v>309</v>
      </c>
      <c r="J19" s="41" t="s">
        <v>308</v>
      </c>
      <c r="K19" s="41" t="s">
        <v>307</v>
      </c>
      <c r="L19" s="41" t="s">
        <v>306</v>
      </c>
      <c r="M19" s="38" t="s">
        <v>305</v>
      </c>
      <c r="N19" s="41" t="s">
        <v>304</v>
      </c>
      <c r="O19" s="40" t="s">
        <v>303</v>
      </c>
      <c r="P19" s="39" t="s">
        <v>302</v>
      </c>
    </row>
    <row r="20" spans="1:20">
      <c r="A20" s="38">
        <v>2016</v>
      </c>
      <c r="B20" t="s">
        <v>409</v>
      </c>
      <c r="C20" s="37" t="s">
        <v>408</v>
      </c>
      <c r="D20">
        <v>100744.87</v>
      </c>
      <c r="E20">
        <v>46164.63</v>
      </c>
      <c r="F20">
        <v>25000</v>
      </c>
      <c r="G20" t="s">
        <v>407</v>
      </c>
      <c r="H20" t="s">
        <v>295</v>
      </c>
      <c r="I20">
        <v>42228</v>
      </c>
      <c r="J20" s="36">
        <v>29580.240000000002</v>
      </c>
      <c r="K20" s="36">
        <v>8411.83</v>
      </c>
      <c r="L20" s="36">
        <v>37992.07</v>
      </c>
      <c r="M20">
        <v>0.37711170802046795</v>
      </c>
      <c r="N20" s="36">
        <v>-85240</v>
      </c>
      <c r="O20" s="35">
        <v>0.44570706241201313</v>
      </c>
      <c r="P20" s="877">
        <f>AVERAGE(O20:O58)</f>
        <v>0.46946317207207983</v>
      </c>
    </row>
    <row r="21" spans="1:20">
      <c r="B21" t="s">
        <v>406</v>
      </c>
      <c r="C21" s="37" t="s">
        <v>405</v>
      </c>
      <c r="D21">
        <v>72205.95</v>
      </c>
      <c r="E21">
        <v>32633.18</v>
      </c>
      <c r="F21">
        <v>25000</v>
      </c>
      <c r="G21" t="s">
        <v>404</v>
      </c>
      <c r="H21" t="s">
        <v>251</v>
      </c>
      <c r="I21">
        <v>42217</v>
      </c>
      <c r="J21" s="36">
        <v>14572.77</v>
      </c>
      <c r="K21" s="36">
        <v>2725.18</v>
      </c>
      <c r="L21" s="36">
        <v>17297.95</v>
      </c>
      <c r="M21">
        <v>0.23956405254691618</v>
      </c>
      <c r="N21" s="36">
        <v>-51500</v>
      </c>
      <c r="O21" s="35">
        <v>0.33588252427184467</v>
      </c>
      <c r="P21" s="878"/>
    </row>
    <row r="22" spans="1:20">
      <c r="B22" t="s">
        <v>403</v>
      </c>
      <c r="C22" s="37">
        <v>14003391</v>
      </c>
      <c r="D22">
        <v>99553.4</v>
      </c>
      <c r="E22">
        <v>45441.78</v>
      </c>
      <c r="F22">
        <v>25000</v>
      </c>
      <c r="G22" t="s">
        <v>402</v>
      </c>
      <c r="H22" t="s">
        <v>295</v>
      </c>
      <c r="I22">
        <v>42313</v>
      </c>
      <c r="J22" s="36">
        <v>29111.62</v>
      </c>
      <c r="K22" s="36">
        <v>17384.599999999999</v>
      </c>
      <c r="L22" s="36">
        <v>46496.22</v>
      </c>
      <c r="M22">
        <v>0.46704803653114813</v>
      </c>
      <c r="N22" s="36">
        <v>-78432</v>
      </c>
      <c r="O22" s="35">
        <v>0.59282206242350066</v>
      </c>
      <c r="P22" s="878"/>
    </row>
    <row r="23" spans="1:20">
      <c r="B23" t="s">
        <v>401</v>
      </c>
      <c r="C23" s="37" t="s">
        <v>400</v>
      </c>
      <c r="D23">
        <v>102226.54</v>
      </c>
      <c r="E23">
        <v>46630.62</v>
      </c>
      <c r="F23">
        <v>25000</v>
      </c>
      <c r="G23" t="s">
        <v>399</v>
      </c>
      <c r="H23" t="s">
        <v>295</v>
      </c>
      <c r="I23">
        <v>42228</v>
      </c>
      <c r="J23" s="36">
        <v>30595.919999999998</v>
      </c>
      <c r="K23" s="36">
        <v>6725.77</v>
      </c>
      <c r="L23" s="36">
        <v>37321.69</v>
      </c>
      <c r="M23">
        <v>0.36508806812790501</v>
      </c>
      <c r="N23" s="36">
        <v>-85789</v>
      </c>
      <c r="O23" s="35">
        <v>0.43504050635862407</v>
      </c>
      <c r="P23" s="878"/>
    </row>
    <row r="24" spans="1:20">
      <c r="B24" t="s">
        <v>398</v>
      </c>
      <c r="C24" s="37" t="s">
        <v>333</v>
      </c>
      <c r="D24">
        <v>198967.2</v>
      </c>
      <c r="E24">
        <v>97087.59</v>
      </c>
      <c r="F24">
        <v>25000</v>
      </c>
      <c r="G24" t="s">
        <v>330</v>
      </c>
      <c r="H24" t="s">
        <v>244</v>
      </c>
      <c r="I24">
        <v>42331</v>
      </c>
      <c r="J24" s="36">
        <v>76879.61</v>
      </c>
      <c r="K24" s="36">
        <v>7154.73</v>
      </c>
      <c r="L24" s="36">
        <v>84034.34</v>
      </c>
      <c r="M24">
        <v>0.42235272949511271</v>
      </c>
      <c r="N24" s="36">
        <v>-133546</v>
      </c>
      <c r="O24" s="35">
        <v>0.62925389004537757</v>
      </c>
      <c r="P24" s="878"/>
    </row>
    <row r="25" spans="1:20">
      <c r="B25" t="s">
        <v>397</v>
      </c>
      <c r="C25" s="37" t="s">
        <v>396</v>
      </c>
      <c r="D25">
        <v>225447.94</v>
      </c>
      <c r="E25">
        <v>126115.19</v>
      </c>
      <c r="F25">
        <v>25000</v>
      </c>
      <c r="G25" t="s">
        <v>248</v>
      </c>
      <c r="H25" t="s">
        <v>244</v>
      </c>
      <c r="I25">
        <v>42458</v>
      </c>
      <c r="J25" s="36">
        <v>74332.75</v>
      </c>
      <c r="K25" s="36">
        <v>4451.34</v>
      </c>
      <c r="L25" s="36">
        <v>78784.09</v>
      </c>
      <c r="M25">
        <v>0.34945579897514256</v>
      </c>
      <c r="N25" s="36">
        <v>-150504</v>
      </c>
      <c r="O25" s="35">
        <v>0.52346841279965983</v>
      </c>
      <c r="P25" s="878"/>
    </row>
    <row r="26" spans="1:20">
      <c r="B26" t="s">
        <v>395</v>
      </c>
      <c r="C26" s="37" t="s">
        <v>394</v>
      </c>
      <c r="D26">
        <v>69147.94</v>
      </c>
      <c r="E26">
        <v>31477.63</v>
      </c>
      <c r="F26">
        <v>25000</v>
      </c>
      <c r="G26" t="s">
        <v>9</v>
      </c>
      <c r="H26" t="s">
        <v>251</v>
      </c>
      <c r="I26">
        <v>42395</v>
      </c>
      <c r="J26" s="36">
        <v>12670.31</v>
      </c>
      <c r="K26" s="36">
        <v>6451.93</v>
      </c>
      <c r="L26" s="36">
        <v>19122.239999999998</v>
      </c>
      <c r="M26">
        <v>0.2765409931228609</v>
      </c>
      <c r="N26" s="36">
        <v>-50819</v>
      </c>
      <c r="O26" s="35">
        <v>0.37628131210767624</v>
      </c>
      <c r="P26" s="878"/>
    </row>
    <row r="27" spans="1:20">
      <c r="B27" t="s">
        <v>393</v>
      </c>
      <c r="C27" s="37" t="s">
        <v>392</v>
      </c>
      <c r="D27">
        <v>243757.52</v>
      </c>
      <c r="E27">
        <v>149909.88</v>
      </c>
      <c r="F27">
        <v>25000</v>
      </c>
      <c r="G27" t="s">
        <v>375</v>
      </c>
      <c r="H27" t="s">
        <v>244</v>
      </c>
      <c r="I27">
        <v>42410</v>
      </c>
      <c r="J27" s="36">
        <v>68847.64</v>
      </c>
      <c r="K27" s="36">
        <v>0</v>
      </c>
      <c r="L27" s="36">
        <v>68847.64</v>
      </c>
      <c r="M27">
        <v>0.28244314267719822</v>
      </c>
      <c r="N27" s="36">
        <v>-176485</v>
      </c>
      <c r="O27" s="35">
        <v>0.39010476811060429</v>
      </c>
      <c r="P27" s="878"/>
    </row>
    <row r="28" spans="1:20">
      <c r="B28" t="s">
        <v>391</v>
      </c>
      <c r="C28" s="37" t="s">
        <v>390</v>
      </c>
      <c r="D28">
        <v>212409.42</v>
      </c>
      <c r="E28">
        <v>109401.86</v>
      </c>
      <c r="F28">
        <v>25000</v>
      </c>
      <c r="G28" t="s">
        <v>286</v>
      </c>
      <c r="H28" t="s">
        <v>244</v>
      </c>
      <c r="I28">
        <v>42451</v>
      </c>
      <c r="J28" s="36">
        <v>78007.56</v>
      </c>
      <c r="K28" s="36">
        <v>8986.42</v>
      </c>
      <c r="L28" s="36">
        <v>86993.98</v>
      </c>
      <c r="M28">
        <v>0.40955801301091066</v>
      </c>
      <c r="N28" s="36">
        <v>-115432</v>
      </c>
      <c r="O28" s="35">
        <v>0.75363833252477641</v>
      </c>
      <c r="P28" s="878"/>
    </row>
    <row r="29" spans="1:20">
      <c r="B29" t="s">
        <v>389</v>
      </c>
      <c r="C29" s="37" t="s">
        <v>388</v>
      </c>
      <c r="D29">
        <v>103033.44</v>
      </c>
      <c r="E29">
        <v>46701.94</v>
      </c>
      <c r="F29">
        <v>25000</v>
      </c>
      <c r="G29" t="s">
        <v>258</v>
      </c>
      <c r="H29" t="s">
        <v>251</v>
      </c>
      <c r="I29">
        <v>42415</v>
      </c>
      <c r="J29" s="36">
        <v>31331.5</v>
      </c>
      <c r="K29" s="36">
        <v>4196.71</v>
      </c>
      <c r="L29" s="36">
        <v>35528.21</v>
      </c>
      <c r="M29">
        <v>0.34482212765098397</v>
      </c>
      <c r="N29" s="36">
        <v>-69572</v>
      </c>
      <c r="O29" s="35">
        <v>0.51066822859771166</v>
      </c>
      <c r="P29" s="878"/>
    </row>
    <row r="30" spans="1:20">
      <c r="B30" t="s">
        <v>387</v>
      </c>
      <c r="C30" s="37">
        <v>14011610</v>
      </c>
      <c r="D30">
        <v>113383.76</v>
      </c>
      <c r="E30">
        <v>51461.66</v>
      </c>
      <c r="F30">
        <v>25000</v>
      </c>
      <c r="G30" t="s">
        <v>367</v>
      </c>
      <c r="H30" t="s">
        <v>251</v>
      </c>
      <c r="I30">
        <v>42421</v>
      </c>
      <c r="J30" s="36">
        <v>36922.1</v>
      </c>
      <c r="K30" s="36">
        <v>4199.09</v>
      </c>
      <c r="L30" s="36">
        <v>41121.19</v>
      </c>
      <c r="M30">
        <v>0.36267266141112275</v>
      </c>
      <c r="N30" s="36">
        <v>-81647</v>
      </c>
      <c r="O30" s="35">
        <v>0.50364606170465542</v>
      </c>
      <c r="P30" s="878"/>
    </row>
    <row r="31" spans="1:20">
      <c r="B31" t="s">
        <v>386</v>
      </c>
      <c r="C31" s="37" t="s">
        <v>385</v>
      </c>
      <c r="D31">
        <v>82928.89</v>
      </c>
      <c r="E31">
        <v>37118.74</v>
      </c>
      <c r="F31">
        <v>25000</v>
      </c>
      <c r="G31" t="s">
        <v>384</v>
      </c>
      <c r="H31" t="s">
        <v>295</v>
      </c>
      <c r="I31">
        <v>42432</v>
      </c>
      <c r="J31" s="36">
        <v>20810.150000000001</v>
      </c>
      <c r="K31" s="36">
        <v>0</v>
      </c>
      <c r="L31" s="36">
        <v>20810.150000000001</v>
      </c>
      <c r="M31">
        <v>0.25093969061927635</v>
      </c>
      <c r="N31" s="36">
        <v>-63857</v>
      </c>
      <c r="O31" s="35">
        <v>0.32588674695021691</v>
      </c>
      <c r="P31" s="878"/>
    </row>
    <row r="32" spans="1:20">
      <c r="B32" t="s">
        <v>383</v>
      </c>
      <c r="C32" s="37" t="s">
        <v>382</v>
      </c>
      <c r="D32">
        <v>151347.04999999999</v>
      </c>
      <c r="E32">
        <v>89154.48</v>
      </c>
      <c r="F32">
        <v>25000</v>
      </c>
      <c r="G32" t="s">
        <v>381</v>
      </c>
      <c r="H32" t="s">
        <v>380</v>
      </c>
      <c r="I32">
        <v>42373</v>
      </c>
      <c r="J32" s="36">
        <v>37192.57</v>
      </c>
      <c r="K32" s="36">
        <v>26773.06</v>
      </c>
      <c r="L32" s="36">
        <v>63965.630000000005</v>
      </c>
      <c r="M32">
        <v>0.42264206669373477</v>
      </c>
      <c r="N32" s="36">
        <v>-105522</v>
      </c>
      <c r="O32" s="35">
        <v>0.60618288129489595</v>
      </c>
      <c r="P32" s="878"/>
    </row>
    <row r="33" spans="2:16">
      <c r="B33" t="s">
        <v>379</v>
      </c>
      <c r="C33" s="37">
        <v>14012666</v>
      </c>
      <c r="D33">
        <v>92211.69</v>
      </c>
      <c r="E33">
        <v>42111.32</v>
      </c>
      <c r="F33">
        <v>25000</v>
      </c>
      <c r="G33" t="s">
        <v>378</v>
      </c>
      <c r="H33" t="s">
        <v>251</v>
      </c>
      <c r="I33">
        <v>42433</v>
      </c>
      <c r="J33" s="36">
        <v>25100.37</v>
      </c>
      <c r="K33" s="36">
        <v>4073.85</v>
      </c>
      <c r="L33" s="36">
        <v>29174.219999999998</v>
      </c>
      <c r="M33">
        <v>0.3163830963297603</v>
      </c>
      <c r="N33" s="36">
        <v>-49336</v>
      </c>
      <c r="O33" s="35">
        <v>0.59133736014269489</v>
      </c>
      <c r="P33" s="878"/>
    </row>
    <row r="34" spans="2:16">
      <c r="B34" t="s">
        <v>377</v>
      </c>
      <c r="C34" s="37" t="s">
        <v>376</v>
      </c>
      <c r="D34">
        <v>207500.52</v>
      </c>
      <c r="E34">
        <v>107447.93</v>
      </c>
      <c r="F34">
        <v>25000</v>
      </c>
      <c r="G34" t="s">
        <v>375</v>
      </c>
      <c r="H34" t="s">
        <v>244</v>
      </c>
      <c r="I34">
        <v>42437</v>
      </c>
      <c r="J34" s="36">
        <v>75052.59</v>
      </c>
      <c r="K34" s="36">
        <v>0</v>
      </c>
      <c r="L34" s="36">
        <v>75052.59</v>
      </c>
      <c r="M34">
        <v>0.36169832249095085</v>
      </c>
      <c r="N34" s="36">
        <v>-154051</v>
      </c>
      <c r="O34" s="35">
        <v>0.48719313733763492</v>
      </c>
      <c r="P34" s="878"/>
    </row>
    <row r="35" spans="2:16">
      <c r="B35" t="s">
        <v>374</v>
      </c>
      <c r="C35" s="37" t="s">
        <v>373</v>
      </c>
      <c r="D35">
        <v>65632.759999999995</v>
      </c>
      <c r="E35">
        <v>32114.73</v>
      </c>
      <c r="F35">
        <v>25000</v>
      </c>
      <c r="G35" t="s">
        <v>372</v>
      </c>
      <c r="H35" t="s">
        <v>251</v>
      </c>
      <c r="I35">
        <v>42485</v>
      </c>
      <c r="J35" s="36">
        <v>8518.0300000000007</v>
      </c>
      <c r="K35" s="36">
        <v>2752.1</v>
      </c>
      <c r="L35" s="36">
        <v>11270.130000000001</v>
      </c>
      <c r="M35">
        <v>0.17171500939469866</v>
      </c>
      <c r="N35" s="36">
        <v>-52225</v>
      </c>
      <c r="O35" s="35">
        <v>0.21579952130205843</v>
      </c>
      <c r="P35" s="878"/>
    </row>
    <row r="36" spans="2:16">
      <c r="B36" t="s">
        <v>371</v>
      </c>
      <c r="C36" s="37" t="s">
        <v>370</v>
      </c>
      <c r="D36">
        <v>211260.91</v>
      </c>
      <c r="E36">
        <v>130120.43</v>
      </c>
      <c r="F36">
        <v>25000</v>
      </c>
      <c r="G36" t="s">
        <v>367</v>
      </c>
      <c r="H36" t="s">
        <v>244</v>
      </c>
      <c r="I36">
        <v>42510</v>
      </c>
      <c r="J36" s="36">
        <v>56140.480000000003</v>
      </c>
      <c r="K36" s="36">
        <v>0</v>
      </c>
      <c r="L36" s="36">
        <v>56140.480000000003</v>
      </c>
      <c r="M36">
        <v>0.26574002734343993</v>
      </c>
      <c r="N36" s="36">
        <v>-120039</v>
      </c>
      <c r="O36" s="35">
        <v>0.46768533559926362</v>
      </c>
      <c r="P36" s="878"/>
    </row>
    <row r="37" spans="2:16">
      <c r="B37" t="s">
        <v>369</v>
      </c>
      <c r="C37" s="37" t="s">
        <v>368</v>
      </c>
      <c r="D37">
        <v>224692.38</v>
      </c>
      <c r="E37">
        <v>138952.41</v>
      </c>
      <c r="F37">
        <v>25000</v>
      </c>
      <c r="G37" t="s">
        <v>367</v>
      </c>
      <c r="H37" t="s">
        <v>244</v>
      </c>
      <c r="I37">
        <v>42515</v>
      </c>
      <c r="J37" s="36">
        <v>60739.97</v>
      </c>
      <c r="K37" s="36">
        <v>0</v>
      </c>
      <c r="L37" s="36">
        <v>60739.97</v>
      </c>
      <c r="M37">
        <v>0.27032501057668268</v>
      </c>
      <c r="N37" s="36">
        <v>-162029</v>
      </c>
      <c r="O37" s="35">
        <v>0.37487097988631668</v>
      </c>
      <c r="P37" s="878"/>
    </row>
    <row r="38" spans="2:16">
      <c r="B38" t="s">
        <v>366</v>
      </c>
      <c r="C38" s="37" t="s">
        <v>365</v>
      </c>
      <c r="D38">
        <v>282595.21000000002</v>
      </c>
      <c r="E38">
        <v>139300.26</v>
      </c>
      <c r="F38">
        <v>25000</v>
      </c>
      <c r="G38" t="s">
        <v>299</v>
      </c>
      <c r="H38" t="s">
        <v>244</v>
      </c>
      <c r="I38">
        <v>42465</v>
      </c>
      <c r="J38" s="36">
        <v>118294.95</v>
      </c>
      <c r="K38" s="36">
        <v>15980.09</v>
      </c>
      <c r="L38" s="36">
        <v>134275.04</v>
      </c>
      <c r="M38">
        <v>0.47514973802988381</v>
      </c>
      <c r="N38" s="36">
        <v>-222047</v>
      </c>
      <c r="O38" s="35">
        <v>0.6047144973811851</v>
      </c>
      <c r="P38" s="878"/>
    </row>
    <row r="39" spans="2:16">
      <c r="B39" t="s">
        <v>364</v>
      </c>
      <c r="C39" s="37" t="s">
        <v>363</v>
      </c>
      <c r="D39">
        <v>208630.06</v>
      </c>
      <c r="E39">
        <v>128721.35</v>
      </c>
      <c r="F39">
        <v>25000</v>
      </c>
      <c r="G39" t="s">
        <v>360</v>
      </c>
      <c r="H39" t="s">
        <v>244</v>
      </c>
      <c r="I39">
        <v>42479</v>
      </c>
      <c r="J39" s="36">
        <v>54908.71</v>
      </c>
      <c r="K39" s="36">
        <v>0</v>
      </c>
      <c r="L39" s="36">
        <v>54908.71</v>
      </c>
      <c r="M39">
        <v>0.26318695397969016</v>
      </c>
      <c r="N39" s="36">
        <v>-149922</v>
      </c>
      <c r="O39" s="35">
        <v>0.36624851589493201</v>
      </c>
      <c r="P39" s="878"/>
    </row>
    <row r="40" spans="2:16">
      <c r="B40" t="s">
        <v>362</v>
      </c>
      <c r="C40" s="37" t="s">
        <v>361</v>
      </c>
      <c r="D40">
        <v>222311.86</v>
      </c>
      <c r="E40">
        <v>137321.98000000001</v>
      </c>
      <c r="F40">
        <v>25000</v>
      </c>
      <c r="G40" t="s">
        <v>360</v>
      </c>
      <c r="H40" t="s">
        <v>244</v>
      </c>
      <c r="I40">
        <v>42474</v>
      </c>
      <c r="J40" s="36">
        <v>59989.88</v>
      </c>
      <c r="K40" s="36">
        <v>0</v>
      </c>
      <c r="L40" s="36">
        <v>59989.88</v>
      </c>
      <c r="M40">
        <v>0.26984561237533616</v>
      </c>
      <c r="N40" s="36">
        <v>-158681</v>
      </c>
      <c r="O40" s="35">
        <v>0.37805332711540762</v>
      </c>
      <c r="P40" s="878"/>
    </row>
    <row r="41" spans="2:16">
      <c r="B41" t="s">
        <v>359</v>
      </c>
      <c r="C41" s="37">
        <v>14019424</v>
      </c>
      <c r="D41">
        <v>103760.8</v>
      </c>
      <c r="E41">
        <v>49223.47</v>
      </c>
      <c r="F41">
        <v>25000</v>
      </c>
      <c r="G41" t="s">
        <v>248</v>
      </c>
      <c r="H41" t="s">
        <v>358</v>
      </c>
      <c r="I41">
        <v>42542</v>
      </c>
      <c r="J41" s="36">
        <v>29537.33</v>
      </c>
      <c r="K41" s="36">
        <v>2359.5700000000002</v>
      </c>
      <c r="L41" s="36">
        <v>31896.9</v>
      </c>
      <c r="M41">
        <v>0.30740799993831969</v>
      </c>
      <c r="N41" s="36">
        <v>-58552</v>
      </c>
      <c r="O41" s="35">
        <v>0.54476192102746279</v>
      </c>
      <c r="P41" s="878"/>
    </row>
    <row r="42" spans="2:16">
      <c r="B42" t="s">
        <v>357</v>
      </c>
      <c r="C42" s="37">
        <v>14020638</v>
      </c>
      <c r="D42">
        <v>95101.75</v>
      </c>
      <c r="E42">
        <v>42869.35</v>
      </c>
      <c r="F42">
        <v>25000</v>
      </c>
      <c r="G42" t="s">
        <v>356</v>
      </c>
      <c r="H42" t="s">
        <v>251</v>
      </c>
      <c r="I42">
        <v>42557</v>
      </c>
      <c r="J42" s="36">
        <v>27232.400000000001</v>
      </c>
      <c r="K42" s="36">
        <v>1609.93</v>
      </c>
      <c r="L42" s="36">
        <v>28842.33</v>
      </c>
      <c r="M42">
        <v>0.3032786462919978</v>
      </c>
      <c r="N42" s="36">
        <v>-53578</v>
      </c>
      <c r="O42" s="35">
        <v>0.53832412557392961</v>
      </c>
      <c r="P42" s="878"/>
    </row>
    <row r="43" spans="2:16">
      <c r="B43" t="s">
        <v>355</v>
      </c>
      <c r="C43" s="37">
        <v>14020404</v>
      </c>
      <c r="D43">
        <v>99081.14</v>
      </c>
      <c r="E43">
        <v>44438.07</v>
      </c>
      <c r="F43">
        <v>25000</v>
      </c>
      <c r="G43" t="s">
        <v>299</v>
      </c>
      <c r="H43" t="s">
        <v>251</v>
      </c>
      <c r="I43">
        <v>42552</v>
      </c>
      <c r="J43" s="36">
        <v>29643.07</v>
      </c>
      <c r="K43" s="36">
        <v>4309.7700000000004</v>
      </c>
      <c r="L43" s="36">
        <v>33952.839999999997</v>
      </c>
      <c r="M43">
        <v>0.34267712301251274</v>
      </c>
      <c r="N43" s="36">
        <v>-56935</v>
      </c>
      <c r="O43" s="35">
        <v>0.59634390093966794</v>
      </c>
      <c r="P43" s="878"/>
    </row>
    <row r="44" spans="2:16">
      <c r="B44" t="s">
        <v>354</v>
      </c>
      <c r="C44" s="37" t="s">
        <v>353</v>
      </c>
      <c r="D44">
        <v>233016.52</v>
      </c>
      <c r="E44">
        <v>124827.12</v>
      </c>
      <c r="F44">
        <v>25000</v>
      </c>
      <c r="G44" t="s">
        <v>286</v>
      </c>
      <c r="H44" t="s">
        <v>244</v>
      </c>
      <c r="I44">
        <v>42451</v>
      </c>
      <c r="J44" s="36">
        <v>83189.399999999994</v>
      </c>
      <c r="K44" s="36">
        <v>0</v>
      </c>
      <c r="L44" s="36">
        <v>83189.399999999994</v>
      </c>
      <c r="M44">
        <v>0.35701073898108165</v>
      </c>
      <c r="N44" s="36">
        <v>-166905</v>
      </c>
      <c r="O44" s="35">
        <v>0.49842365417453038</v>
      </c>
      <c r="P44" s="878"/>
    </row>
    <row r="45" spans="2:16">
      <c r="B45" t="s">
        <v>352</v>
      </c>
      <c r="C45" s="37" t="s">
        <v>351</v>
      </c>
      <c r="D45">
        <v>205076.11</v>
      </c>
      <c r="E45">
        <v>103933.63</v>
      </c>
      <c r="F45">
        <v>25000</v>
      </c>
      <c r="G45" t="s">
        <v>286</v>
      </c>
      <c r="H45" t="s">
        <v>244</v>
      </c>
      <c r="I45">
        <v>42547</v>
      </c>
      <c r="J45" s="36">
        <v>76142.48</v>
      </c>
      <c r="K45" s="36">
        <v>4935.05</v>
      </c>
      <c r="L45" s="36">
        <v>81077.53</v>
      </c>
      <c r="M45">
        <v>0.39535336417294048</v>
      </c>
      <c r="N45" s="36">
        <v>-146053</v>
      </c>
      <c r="O45" s="35">
        <v>0.55512403031776136</v>
      </c>
      <c r="P45" s="878"/>
    </row>
    <row r="46" spans="2:16">
      <c r="B46" t="s">
        <v>350</v>
      </c>
      <c r="C46" s="37" t="s">
        <v>349</v>
      </c>
      <c r="D46">
        <v>50459.5</v>
      </c>
      <c r="E46">
        <v>20183.8</v>
      </c>
      <c r="F46">
        <v>25000</v>
      </c>
      <c r="G46" t="s">
        <v>274</v>
      </c>
      <c r="H46" t="s">
        <v>348</v>
      </c>
      <c r="I46">
        <v>42642</v>
      </c>
      <c r="J46" s="36">
        <v>5275.7</v>
      </c>
      <c r="K46" s="36">
        <v>14569.63</v>
      </c>
      <c r="L46" s="36">
        <v>19845.329999999998</v>
      </c>
      <c r="M46">
        <v>0.39329224427511167</v>
      </c>
      <c r="N46" s="36">
        <v>-43322</v>
      </c>
      <c r="O46" s="35">
        <v>0.45808896172845204</v>
      </c>
      <c r="P46" s="878"/>
    </row>
    <row r="47" spans="2:16">
      <c r="B47" t="s">
        <v>347</v>
      </c>
      <c r="C47" s="37" t="s">
        <v>346</v>
      </c>
      <c r="D47">
        <v>204581.17</v>
      </c>
      <c r="E47">
        <v>126472.61</v>
      </c>
      <c r="F47">
        <v>25000</v>
      </c>
      <c r="G47" t="s">
        <v>345</v>
      </c>
      <c r="H47" t="s">
        <v>244</v>
      </c>
      <c r="I47">
        <v>42569</v>
      </c>
      <c r="J47" s="36">
        <v>53108.56</v>
      </c>
      <c r="K47" s="36">
        <v>0</v>
      </c>
      <c r="L47" s="36">
        <v>53108.56</v>
      </c>
      <c r="M47">
        <v>0.2595965210287926</v>
      </c>
      <c r="N47" s="36">
        <v>-145770</v>
      </c>
      <c r="O47" s="35">
        <v>0.36433120669547914</v>
      </c>
      <c r="P47" s="878"/>
    </row>
    <row r="48" spans="2:16">
      <c r="B48" t="s">
        <v>344</v>
      </c>
      <c r="C48" s="37" t="s">
        <v>343</v>
      </c>
      <c r="D48">
        <v>217611.4</v>
      </c>
      <c r="E48">
        <v>114079.38</v>
      </c>
      <c r="F48">
        <v>25000</v>
      </c>
      <c r="G48" t="s">
        <v>292</v>
      </c>
      <c r="H48" t="s">
        <v>244</v>
      </c>
      <c r="I48">
        <v>42517</v>
      </c>
      <c r="J48" s="36">
        <v>78532.02</v>
      </c>
      <c r="K48" s="36">
        <v>0</v>
      </c>
      <c r="L48" s="36">
        <v>78532.02</v>
      </c>
      <c r="M48">
        <v>0.36088192070819824</v>
      </c>
      <c r="N48" s="36">
        <v>-131702</v>
      </c>
      <c r="O48" s="35">
        <v>0.59628570560811534</v>
      </c>
      <c r="P48" s="878"/>
    </row>
    <row r="49" spans="1:16">
      <c r="B49" t="s">
        <v>342</v>
      </c>
      <c r="C49" s="37" t="s">
        <v>341</v>
      </c>
      <c r="D49">
        <v>197851.31</v>
      </c>
      <c r="E49">
        <v>99389.62</v>
      </c>
      <c r="F49">
        <v>25000</v>
      </c>
      <c r="G49" t="s">
        <v>340</v>
      </c>
      <c r="H49" t="s">
        <v>244</v>
      </c>
      <c r="I49">
        <v>42626</v>
      </c>
      <c r="J49" s="36">
        <v>73461.69</v>
      </c>
      <c r="K49" s="36">
        <v>0</v>
      </c>
      <c r="L49" s="36">
        <v>73461.69</v>
      </c>
      <c r="M49">
        <v>0.3712974657585032</v>
      </c>
      <c r="N49" s="36">
        <v>-116178</v>
      </c>
      <c r="O49" s="35">
        <v>0.63232014667148684</v>
      </c>
      <c r="P49" s="878"/>
    </row>
    <row r="50" spans="1:16">
      <c r="B50" t="s">
        <v>339</v>
      </c>
      <c r="C50" s="37" t="s">
        <v>338</v>
      </c>
      <c r="D50">
        <v>50429.42</v>
      </c>
      <c r="E50">
        <v>22714.83</v>
      </c>
      <c r="F50">
        <v>25000</v>
      </c>
      <c r="G50" t="s">
        <v>268</v>
      </c>
      <c r="H50" t="s">
        <v>337</v>
      </c>
      <c r="I50">
        <v>42570</v>
      </c>
      <c r="J50" s="36">
        <v>2714.59</v>
      </c>
      <c r="K50" s="36">
        <v>0</v>
      </c>
      <c r="L50" s="36">
        <v>2714.59</v>
      </c>
      <c r="M50">
        <v>5.3829490801202952E-2</v>
      </c>
      <c r="N50" s="36">
        <v>-46031</v>
      </c>
      <c r="O50" s="35">
        <v>5.8973083356868197E-2</v>
      </c>
      <c r="P50" s="878"/>
    </row>
    <row r="51" spans="1:16">
      <c r="B51" t="s">
        <v>336</v>
      </c>
      <c r="C51" s="37" t="s">
        <v>335</v>
      </c>
      <c r="D51">
        <v>210096.69</v>
      </c>
      <c r="E51">
        <v>106969.2</v>
      </c>
      <c r="F51">
        <v>25000</v>
      </c>
      <c r="G51" t="s">
        <v>296</v>
      </c>
      <c r="H51" t="s">
        <v>244</v>
      </c>
      <c r="I51">
        <v>42630</v>
      </c>
      <c r="J51" s="36">
        <v>78127.490000000005</v>
      </c>
      <c r="K51" s="36">
        <v>0</v>
      </c>
      <c r="L51" s="36">
        <v>78127.490000000005</v>
      </c>
      <c r="M51">
        <v>0.37186444964934956</v>
      </c>
      <c r="N51" s="36">
        <v>-141736</v>
      </c>
      <c r="O51" s="35">
        <v>0.55121839193994471</v>
      </c>
      <c r="P51" s="878"/>
    </row>
    <row r="52" spans="1:16">
      <c r="B52" t="s">
        <v>334</v>
      </c>
      <c r="C52" s="37" t="s">
        <v>333</v>
      </c>
      <c r="D52">
        <v>198689.27</v>
      </c>
      <c r="E52">
        <v>100946.42</v>
      </c>
      <c r="F52">
        <v>25000</v>
      </c>
      <c r="G52" t="s">
        <v>330</v>
      </c>
      <c r="H52" t="s">
        <v>244</v>
      </c>
      <c r="I52">
        <v>42468</v>
      </c>
      <c r="J52" s="36">
        <v>72742.850000000006</v>
      </c>
      <c r="K52" s="36">
        <v>0</v>
      </c>
      <c r="L52" s="36">
        <v>72742.850000000006</v>
      </c>
      <c r="M52">
        <v>0.36611363059514995</v>
      </c>
      <c r="N52" s="36">
        <v>-133546</v>
      </c>
      <c r="O52" s="35">
        <v>0.54470257439384184</v>
      </c>
      <c r="P52" s="878"/>
    </row>
    <row r="53" spans="1:16">
      <c r="B53" t="s">
        <v>332</v>
      </c>
      <c r="C53" s="37" t="s">
        <v>331</v>
      </c>
      <c r="D53">
        <v>201352.31</v>
      </c>
      <c r="E53">
        <v>123981.46</v>
      </c>
      <c r="F53">
        <v>25000</v>
      </c>
      <c r="G53" t="s">
        <v>330</v>
      </c>
      <c r="H53" t="s">
        <v>244</v>
      </c>
      <c r="I53">
        <v>42452</v>
      </c>
      <c r="J53" s="36">
        <v>52370.85</v>
      </c>
      <c r="K53" s="36">
        <v>0</v>
      </c>
      <c r="L53" s="36">
        <v>52370.85</v>
      </c>
      <c r="M53">
        <v>0.26009560059181841</v>
      </c>
      <c r="N53" s="36">
        <v>-137779</v>
      </c>
      <c r="O53" s="35">
        <v>0.38010763614193743</v>
      </c>
      <c r="P53" s="878"/>
    </row>
    <row r="54" spans="1:16">
      <c r="B54" t="s">
        <v>329</v>
      </c>
      <c r="C54" s="37" t="s">
        <v>328</v>
      </c>
      <c r="D54">
        <v>211839.26</v>
      </c>
      <c r="E54">
        <v>115730.04</v>
      </c>
      <c r="F54">
        <v>25000</v>
      </c>
      <c r="G54" t="s">
        <v>292</v>
      </c>
      <c r="H54" t="s">
        <v>244</v>
      </c>
      <c r="I54">
        <v>42510</v>
      </c>
      <c r="J54" s="36">
        <v>71109.22</v>
      </c>
      <c r="K54" s="36">
        <v>0</v>
      </c>
      <c r="L54" s="36">
        <v>71109.22</v>
      </c>
      <c r="M54">
        <v>0.33567536064844639</v>
      </c>
      <c r="N54" s="36">
        <v>-122533</v>
      </c>
      <c r="O54" s="35">
        <v>0.58032709555793138</v>
      </c>
      <c r="P54" s="878"/>
    </row>
    <row r="55" spans="1:16">
      <c r="B55" t="s">
        <v>327</v>
      </c>
      <c r="C55" s="37" t="s">
        <v>326</v>
      </c>
      <c r="D55">
        <v>201556.3</v>
      </c>
      <c r="E55">
        <v>130350.71</v>
      </c>
      <c r="F55">
        <v>25000</v>
      </c>
      <c r="G55" t="s">
        <v>325</v>
      </c>
      <c r="H55" t="s">
        <v>244</v>
      </c>
      <c r="I55">
        <v>42537</v>
      </c>
      <c r="J55" s="36">
        <v>46205.59</v>
      </c>
      <c r="K55" s="36">
        <v>0</v>
      </c>
      <c r="L55" s="36">
        <v>46205.59</v>
      </c>
      <c r="M55">
        <v>0.2292440871359516</v>
      </c>
      <c r="N55" s="36">
        <v>-127050</v>
      </c>
      <c r="O55" s="35">
        <v>0.36368036206218024</v>
      </c>
      <c r="P55" s="878"/>
    </row>
    <row r="56" spans="1:16">
      <c r="B56" t="s">
        <v>324</v>
      </c>
      <c r="C56" s="37" t="s">
        <v>323</v>
      </c>
      <c r="D56">
        <v>215980.53</v>
      </c>
      <c r="E56">
        <v>146335.21</v>
      </c>
      <c r="F56">
        <v>25000</v>
      </c>
      <c r="G56" t="s">
        <v>322</v>
      </c>
      <c r="H56" t="s">
        <v>244</v>
      </c>
      <c r="I56">
        <v>42404</v>
      </c>
      <c r="J56" s="36">
        <v>44645.32</v>
      </c>
      <c r="K56" s="36">
        <v>0</v>
      </c>
      <c r="L56" s="36">
        <v>44645.32</v>
      </c>
      <c r="M56">
        <v>0.2067099288996096</v>
      </c>
      <c r="N56" s="36">
        <v>-131595</v>
      </c>
      <c r="O56" s="35">
        <v>0.33926304190888712</v>
      </c>
      <c r="P56" s="878"/>
    </row>
    <row r="57" spans="1:16">
      <c r="B57" t="s">
        <v>321</v>
      </c>
      <c r="C57" s="37" t="s">
        <v>320</v>
      </c>
      <c r="D57">
        <v>69299.740000000005</v>
      </c>
      <c r="E57">
        <v>31585.62</v>
      </c>
      <c r="F57">
        <v>25000</v>
      </c>
      <c r="G57" t="s">
        <v>319</v>
      </c>
      <c r="H57" t="s">
        <v>251</v>
      </c>
      <c r="I57">
        <v>42696</v>
      </c>
      <c r="J57" s="36">
        <v>12714.12</v>
      </c>
      <c r="K57" s="36">
        <v>0</v>
      </c>
      <c r="L57" s="36">
        <v>12714.12</v>
      </c>
      <c r="M57">
        <v>0.18346562339194925</v>
      </c>
      <c r="N57" s="36">
        <v>-42009</v>
      </c>
      <c r="O57" s="35">
        <v>0.30265228879525818</v>
      </c>
      <c r="P57" s="878"/>
    </row>
    <row r="58" spans="1:16">
      <c r="B58" t="s">
        <v>318</v>
      </c>
      <c r="C58" s="37" t="s">
        <v>317</v>
      </c>
      <c r="D58">
        <v>220649.96</v>
      </c>
      <c r="E58">
        <v>120763.85</v>
      </c>
      <c r="F58">
        <v>25000</v>
      </c>
      <c r="G58" t="s">
        <v>248</v>
      </c>
      <c r="H58" t="s">
        <v>244</v>
      </c>
      <c r="I58">
        <v>42535</v>
      </c>
      <c r="J58" s="36">
        <v>74886.11</v>
      </c>
      <c r="K58" s="36">
        <v>0</v>
      </c>
      <c r="L58" s="36">
        <v>74886.11</v>
      </c>
      <c r="M58">
        <v>0.33938873136437459</v>
      </c>
      <c r="N58" s="36">
        <v>-152938</v>
      </c>
      <c r="O58" s="35">
        <v>0.48965011965633132</v>
      </c>
      <c r="P58" s="878"/>
    </row>
    <row r="59" spans="1:16">
      <c r="A59" s="38" t="s">
        <v>243</v>
      </c>
      <c r="B59" s="38" t="s">
        <v>316</v>
      </c>
      <c r="C59" s="42" t="s">
        <v>315</v>
      </c>
      <c r="D59" s="38" t="s">
        <v>314</v>
      </c>
      <c r="E59" s="38" t="s">
        <v>313</v>
      </c>
      <c r="F59" s="38" t="s">
        <v>312</v>
      </c>
      <c r="G59" s="38" t="s">
        <v>311</v>
      </c>
      <c r="H59" s="38" t="s">
        <v>310</v>
      </c>
      <c r="I59" s="38" t="s">
        <v>309</v>
      </c>
      <c r="J59" s="41" t="s">
        <v>308</v>
      </c>
      <c r="K59" s="41" t="s">
        <v>307</v>
      </c>
      <c r="L59" s="41" t="s">
        <v>306</v>
      </c>
      <c r="M59" s="38" t="s">
        <v>305</v>
      </c>
      <c r="N59" s="41" t="s">
        <v>304</v>
      </c>
      <c r="O59" s="40" t="s">
        <v>303</v>
      </c>
      <c r="P59" s="39" t="s">
        <v>302</v>
      </c>
    </row>
    <row r="60" spans="1:16">
      <c r="A60" s="38">
        <v>2017</v>
      </c>
      <c r="B60" t="s">
        <v>301</v>
      </c>
      <c r="C60" s="37" t="s">
        <v>300</v>
      </c>
      <c r="D60">
        <v>97107.39</v>
      </c>
      <c r="E60">
        <v>43744.4</v>
      </c>
      <c r="F60">
        <v>25000</v>
      </c>
      <c r="G60" t="s">
        <v>299</v>
      </c>
      <c r="H60" t="s">
        <v>251</v>
      </c>
      <c r="I60">
        <v>42675</v>
      </c>
      <c r="J60" s="36">
        <v>28362.99</v>
      </c>
      <c r="K60" s="36">
        <v>0</v>
      </c>
      <c r="L60" s="36">
        <v>28362.99</v>
      </c>
      <c r="M60">
        <v>0.29207859463630936</v>
      </c>
      <c r="N60" s="36">
        <v>-55741</v>
      </c>
      <c r="O60" s="35">
        <v>0.50883532767621686</v>
      </c>
      <c r="P60" s="877">
        <f>AVERAGE(O60:O77)</f>
        <v>0.5147314294258919</v>
      </c>
    </row>
    <row r="61" spans="1:16">
      <c r="B61" t="s">
        <v>298</v>
      </c>
      <c r="C61" s="37" t="s">
        <v>297</v>
      </c>
      <c r="D61">
        <v>85675.69</v>
      </c>
      <c r="E61">
        <v>39308.089999999997</v>
      </c>
      <c r="F61">
        <v>25000</v>
      </c>
      <c r="G61" t="s">
        <v>296</v>
      </c>
      <c r="H61" t="s">
        <v>295</v>
      </c>
      <c r="I61">
        <v>42790</v>
      </c>
      <c r="J61" s="36">
        <v>21367.599999999999</v>
      </c>
      <c r="K61" s="36">
        <v>24365.06</v>
      </c>
      <c r="L61" s="36">
        <v>45732.66</v>
      </c>
      <c r="M61">
        <v>0.53378805586508848</v>
      </c>
      <c r="N61" s="36">
        <v>-53027</v>
      </c>
      <c r="O61" s="35">
        <v>0.86244102061214101</v>
      </c>
      <c r="P61" s="878"/>
    </row>
    <row r="62" spans="1:16">
      <c r="B62" t="s">
        <v>294</v>
      </c>
      <c r="C62" s="37" t="s">
        <v>293</v>
      </c>
      <c r="D62">
        <v>93406.96</v>
      </c>
      <c r="E62">
        <v>42041.120000000003</v>
      </c>
      <c r="F62">
        <v>25000</v>
      </c>
      <c r="G62" t="s">
        <v>292</v>
      </c>
      <c r="H62" t="s">
        <v>251</v>
      </c>
      <c r="I62">
        <v>42783</v>
      </c>
      <c r="J62" s="36">
        <v>26365.84</v>
      </c>
      <c r="K62" s="36">
        <v>20326.310000000001</v>
      </c>
      <c r="L62" s="36">
        <v>46692.15</v>
      </c>
      <c r="M62">
        <v>0.49987870282899688</v>
      </c>
      <c r="N62" s="36">
        <v>-47527</v>
      </c>
      <c r="O62" s="35">
        <v>0.98243419529951403</v>
      </c>
      <c r="P62" s="878"/>
    </row>
    <row r="63" spans="1:16">
      <c r="B63" t="s">
        <v>291</v>
      </c>
      <c r="C63" s="37" t="s">
        <v>290</v>
      </c>
      <c r="D63">
        <v>89762.36</v>
      </c>
      <c r="E63">
        <v>41147.589999999997</v>
      </c>
      <c r="F63">
        <v>25000</v>
      </c>
      <c r="G63" t="s">
        <v>289</v>
      </c>
      <c r="H63" t="s">
        <v>251</v>
      </c>
      <c r="I63">
        <v>42751</v>
      </c>
      <c r="J63" s="36">
        <v>23614.77</v>
      </c>
      <c r="K63" s="36">
        <v>0</v>
      </c>
      <c r="L63" s="36">
        <v>23614.77</v>
      </c>
      <c r="M63">
        <v>0.26308098405612329</v>
      </c>
      <c r="N63" s="36">
        <v>-54722</v>
      </c>
      <c r="O63" s="35">
        <v>0.43154069661196592</v>
      </c>
      <c r="P63" s="878"/>
    </row>
    <row r="64" spans="1:16">
      <c r="B64" t="s">
        <v>288</v>
      </c>
      <c r="C64" s="37" t="s">
        <v>287</v>
      </c>
      <c r="D64">
        <v>230358.72</v>
      </c>
      <c r="E64">
        <v>108854.59</v>
      </c>
      <c r="F64">
        <v>25000</v>
      </c>
      <c r="G64" t="s">
        <v>286</v>
      </c>
      <c r="H64" t="s">
        <v>244</v>
      </c>
      <c r="I64">
        <v>42747</v>
      </c>
      <c r="J64" s="36">
        <v>96504.13</v>
      </c>
      <c r="K64" s="36">
        <v>0</v>
      </c>
      <c r="L64" s="36">
        <v>96504.13</v>
      </c>
      <c r="M64">
        <v>0.41892978915666834</v>
      </c>
      <c r="N64" s="36">
        <v>-161204</v>
      </c>
      <c r="O64" s="35">
        <v>0.59864600133991719</v>
      </c>
      <c r="P64" s="878"/>
    </row>
    <row r="65" spans="1:16">
      <c r="B65" t="s">
        <v>285</v>
      </c>
      <c r="C65" s="37" t="s">
        <v>284</v>
      </c>
      <c r="D65">
        <v>100704.72</v>
      </c>
      <c r="E65">
        <v>45387.34</v>
      </c>
      <c r="F65">
        <v>25000</v>
      </c>
      <c r="G65" t="s">
        <v>283</v>
      </c>
      <c r="H65" t="s">
        <v>251</v>
      </c>
      <c r="I65">
        <v>42872</v>
      </c>
      <c r="J65" s="36">
        <v>30317.38</v>
      </c>
      <c r="K65" s="36">
        <v>2664.4</v>
      </c>
      <c r="L65" s="36">
        <v>32981.78</v>
      </c>
      <c r="M65">
        <v>0.32750977312682067</v>
      </c>
      <c r="N65" s="36">
        <v>-56126</v>
      </c>
      <c r="O65" s="35">
        <v>0.58763817125752771</v>
      </c>
      <c r="P65" s="878"/>
    </row>
    <row r="66" spans="1:16">
      <c r="B66" t="s">
        <v>282</v>
      </c>
      <c r="C66" s="37" t="s">
        <v>281</v>
      </c>
      <c r="D66">
        <v>56882.5</v>
      </c>
      <c r="E66">
        <v>25830.65</v>
      </c>
      <c r="F66">
        <v>25000</v>
      </c>
      <c r="G66" t="s">
        <v>280</v>
      </c>
      <c r="H66" t="s">
        <v>251</v>
      </c>
      <c r="I66">
        <v>42801</v>
      </c>
      <c r="J66" s="36">
        <v>6051.85</v>
      </c>
      <c r="K66" s="36">
        <v>604.41</v>
      </c>
      <c r="L66" s="36">
        <v>6656.26</v>
      </c>
      <c r="M66">
        <v>0.11701771195007252</v>
      </c>
      <c r="N66" s="36">
        <v>-46000</v>
      </c>
      <c r="O66" s="35">
        <v>0.1447013043478261</v>
      </c>
      <c r="P66" s="878"/>
    </row>
    <row r="67" spans="1:16">
      <c r="B67" t="s">
        <v>279</v>
      </c>
      <c r="C67" s="37" t="s">
        <v>278</v>
      </c>
      <c r="D67">
        <v>101819.95</v>
      </c>
      <c r="E67">
        <v>45703.21</v>
      </c>
      <c r="F67">
        <v>25000</v>
      </c>
      <c r="G67" t="s">
        <v>277</v>
      </c>
      <c r="H67" t="s">
        <v>251</v>
      </c>
      <c r="I67">
        <v>42801</v>
      </c>
      <c r="J67" s="36">
        <v>31116.74</v>
      </c>
      <c r="K67" s="36">
        <v>1902.3</v>
      </c>
      <c r="L67" s="36">
        <v>33019.040000000001</v>
      </c>
      <c r="M67">
        <v>0.32428851123969321</v>
      </c>
      <c r="N67" s="36">
        <v>-58475</v>
      </c>
      <c r="O67" s="35">
        <v>0.56466934587430528</v>
      </c>
      <c r="P67" s="878"/>
    </row>
    <row r="68" spans="1:16">
      <c r="B68" t="s">
        <v>276</v>
      </c>
      <c r="C68" s="37" t="s">
        <v>275</v>
      </c>
      <c r="D68">
        <v>148127.69</v>
      </c>
      <c r="E68">
        <v>64279.06</v>
      </c>
      <c r="F68">
        <v>25000</v>
      </c>
      <c r="G68" t="s">
        <v>274</v>
      </c>
      <c r="H68" t="s">
        <v>251</v>
      </c>
      <c r="I68">
        <v>42914</v>
      </c>
      <c r="J68" s="36">
        <v>58848.63</v>
      </c>
      <c r="K68" s="36">
        <v>0</v>
      </c>
      <c r="L68" s="36">
        <v>58848.63</v>
      </c>
      <c r="M68">
        <v>0.39728311431846403</v>
      </c>
      <c r="N68" s="36">
        <v>-156052</v>
      </c>
      <c r="O68" s="35">
        <v>0.37710910465742187</v>
      </c>
      <c r="P68" s="878"/>
    </row>
    <row r="69" spans="1:16">
      <c r="B69" t="s">
        <v>273</v>
      </c>
      <c r="C69" s="37" t="s">
        <v>272</v>
      </c>
      <c r="D69">
        <v>101457.45</v>
      </c>
      <c r="E69">
        <v>45653.73</v>
      </c>
      <c r="F69">
        <v>25000</v>
      </c>
      <c r="G69" t="s">
        <v>271</v>
      </c>
      <c r="H69" t="s">
        <v>251</v>
      </c>
      <c r="I69">
        <v>42930</v>
      </c>
      <c r="J69" s="36">
        <v>30803.72</v>
      </c>
      <c r="K69" s="36">
        <v>0</v>
      </c>
      <c r="L69" s="36">
        <v>30803.72</v>
      </c>
      <c r="M69">
        <v>0.30361220393376731</v>
      </c>
      <c r="N69" s="36">
        <v>-65670</v>
      </c>
      <c r="O69" s="35">
        <v>0.46906837216384956</v>
      </c>
      <c r="P69" s="878"/>
    </row>
    <row r="70" spans="1:16">
      <c r="B70" t="s">
        <v>270</v>
      </c>
      <c r="C70" s="37" t="s">
        <v>269</v>
      </c>
      <c r="D70">
        <v>57817.09</v>
      </c>
      <c r="E70">
        <v>26145.29</v>
      </c>
      <c r="F70">
        <v>25000</v>
      </c>
      <c r="G70" t="s">
        <v>268</v>
      </c>
      <c r="H70" t="s">
        <v>251</v>
      </c>
      <c r="I70">
        <v>42774</v>
      </c>
      <c r="J70" s="36">
        <v>6671.8</v>
      </c>
      <c r="K70" s="36">
        <v>0</v>
      </c>
      <c r="L70" s="36">
        <v>6671.8</v>
      </c>
      <c r="M70">
        <v>0.11539494637312256</v>
      </c>
      <c r="N70" s="36">
        <v>-29006</v>
      </c>
      <c r="O70" s="35">
        <v>0.2300144797628077</v>
      </c>
      <c r="P70" s="878"/>
    </row>
    <row r="71" spans="1:16">
      <c r="B71" t="s">
        <v>267</v>
      </c>
      <c r="C71" s="37" t="s">
        <v>266</v>
      </c>
      <c r="D71">
        <v>209605.47</v>
      </c>
      <c r="E71">
        <v>125512.46</v>
      </c>
      <c r="F71">
        <v>25000</v>
      </c>
      <c r="G71" t="s">
        <v>265</v>
      </c>
      <c r="H71" t="s">
        <v>264</v>
      </c>
      <c r="I71">
        <v>42871</v>
      </c>
      <c r="J71" s="36">
        <v>59093.01</v>
      </c>
      <c r="K71" s="36">
        <v>20569.310000000001</v>
      </c>
      <c r="L71" s="36">
        <v>79662.320000000007</v>
      </c>
      <c r="M71">
        <v>0.38005840210181541</v>
      </c>
      <c r="N71" s="36">
        <v>-135930</v>
      </c>
      <c r="O71" s="35">
        <v>0.58605399838151995</v>
      </c>
      <c r="P71" s="878"/>
    </row>
    <row r="72" spans="1:16">
      <c r="B72" t="s">
        <v>263</v>
      </c>
      <c r="C72" s="37" t="s">
        <v>262</v>
      </c>
      <c r="D72">
        <v>211162.89</v>
      </c>
      <c r="E72">
        <v>96916.61</v>
      </c>
      <c r="F72">
        <v>25000</v>
      </c>
      <c r="G72" t="s">
        <v>261</v>
      </c>
      <c r="H72" t="s">
        <v>244</v>
      </c>
      <c r="I72">
        <v>42820</v>
      </c>
      <c r="J72" s="36">
        <v>89246.28</v>
      </c>
      <c r="K72" s="36">
        <v>21734.51</v>
      </c>
      <c r="L72" s="36">
        <v>110980.79</v>
      </c>
      <c r="M72">
        <v>0.52556957332796495</v>
      </c>
      <c r="N72" s="36">
        <v>-152541</v>
      </c>
      <c r="O72" s="35">
        <v>0.72754728236998578</v>
      </c>
      <c r="P72" s="878"/>
    </row>
    <row r="73" spans="1:16">
      <c r="B73" t="s">
        <v>260</v>
      </c>
      <c r="C73" s="37" t="s">
        <v>259</v>
      </c>
      <c r="D73">
        <v>200536.12</v>
      </c>
      <c r="E73">
        <v>123559.27</v>
      </c>
      <c r="F73">
        <v>25000</v>
      </c>
      <c r="G73" t="s">
        <v>258</v>
      </c>
      <c r="H73" t="s">
        <v>244</v>
      </c>
      <c r="I73">
        <v>42746</v>
      </c>
      <c r="J73" s="36">
        <v>51976.85</v>
      </c>
      <c r="K73" s="36">
        <v>0</v>
      </c>
      <c r="L73" s="36">
        <v>51976.85</v>
      </c>
      <c r="M73">
        <v>0.25918946671552234</v>
      </c>
      <c r="N73" s="36">
        <v>-124036</v>
      </c>
      <c r="O73" s="35">
        <v>0.41904648650391818</v>
      </c>
      <c r="P73" s="878"/>
    </row>
    <row r="74" spans="1:16">
      <c r="B74" t="s">
        <v>257</v>
      </c>
      <c r="C74" s="37" t="s">
        <v>256</v>
      </c>
      <c r="D74">
        <v>211193.5</v>
      </c>
      <c r="E74">
        <v>129481.72</v>
      </c>
      <c r="F74">
        <v>25000</v>
      </c>
      <c r="G74" t="s">
        <v>255</v>
      </c>
      <c r="H74" t="s">
        <v>244</v>
      </c>
      <c r="I74">
        <v>42858</v>
      </c>
      <c r="J74" s="36">
        <v>56711.78</v>
      </c>
      <c r="K74" s="36">
        <v>0</v>
      </c>
      <c r="L74" s="36">
        <v>56711.78</v>
      </c>
      <c r="M74">
        <v>0.26852995002213609</v>
      </c>
      <c r="N74" s="36">
        <v>-131200</v>
      </c>
      <c r="O74" s="35">
        <v>0.43225442073170733</v>
      </c>
      <c r="P74" s="878"/>
    </row>
    <row r="75" spans="1:16">
      <c r="B75" t="s">
        <v>254</v>
      </c>
      <c r="C75" s="37" t="s">
        <v>253</v>
      </c>
      <c r="D75">
        <v>95931.839999999997</v>
      </c>
      <c r="E75">
        <v>44108.6</v>
      </c>
      <c r="F75">
        <v>25000</v>
      </c>
      <c r="G75" t="s">
        <v>252</v>
      </c>
      <c r="H75" t="s">
        <v>251</v>
      </c>
      <c r="I75">
        <v>42989</v>
      </c>
      <c r="J75" s="36">
        <v>26823.24</v>
      </c>
      <c r="K75" s="36">
        <v>3882.45</v>
      </c>
      <c r="L75" s="36">
        <v>30705.690000000002</v>
      </c>
      <c r="M75">
        <v>0.32007819301704216</v>
      </c>
      <c r="N75" s="36">
        <v>-56809</v>
      </c>
      <c r="O75" s="35">
        <v>0.54050749001038567</v>
      </c>
      <c r="P75" s="878"/>
    </row>
    <row r="76" spans="1:16">
      <c r="B76" t="s">
        <v>250</v>
      </c>
      <c r="C76" s="37" t="s">
        <v>249</v>
      </c>
      <c r="D76">
        <v>208424.83</v>
      </c>
      <c r="E76">
        <v>97379.13</v>
      </c>
      <c r="F76">
        <v>25000</v>
      </c>
      <c r="G76" t="s">
        <v>248</v>
      </c>
      <c r="H76" t="s">
        <v>244</v>
      </c>
      <c r="I76">
        <v>42899</v>
      </c>
      <c r="J76" s="36">
        <v>86045.7</v>
      </c>
      <c r="K76" s="36">
        <v>0</v>
      </c>
      <c r="L76" s="36">
        <v>86045.7</v>
      </c>
      <c r="M76">
        <v>0.41283804813466801</v>
      </c>
      <c r="N76" s="36">
        <v>-131625</v>
      </c>
      <c r="O76" s="35">
        <v>0.65371851851851848</v>
      </c>
      <c r="P76" s="878"/>
    </row>
    <row r="77" spans="1:16">
      <c r="B77" t="s">
        <v>247</v>
      </c>
      <c r="C77" s="37" t="s">
        <v>246</v>
      </c>
      <c r="D77">
        <v>229194.88</v>
      </c>
      <c r="E77">
        <v>185650.93</v>
      </c>
      <c r="F77">
        <v>25000</v>
      </c>
      <c r="G77" t="s">
        <v>245</v>
      </c>
      <c r="H77" t="s">
        <v>244</v>
      </c>
      <c r="I77">
        <v>42754</v>
      </c>
      <c r="J77" s="36">
        <v>18543.95</v>
      </c>
      <c r="K77" s="36">
        <v>1455.35</v>
      </c>
      <c r="L77" s="36">
        <v>19999.3</v>
      </c>
      <c r="M77">
        <v>8.7258930042416305E-2</v>
      </c>
      <c r="N77" s="36">
        <v>-134278</v>
      </c>
      <c r="O77" s="35">
        <v>0.14893951354652288</v>
      </c>
      <c r="P77" s="878"/>
    </row>
    <row r="78" spans="1:16">
      <c r="C78" s="37"/>
      <c r="J78" s="36"/>
      <c r="K78" s="36"/>
      <c r="L78" s="36"/>
      <c r="N78" s="36"/>
      <c r="O78" s="35"/>
      <c r="P78" s="34">
        <f>AVERAGE(P60,P20,P4)</f>
        <v>0.48633098291693638</v>
      </c>
    </row>
    <row r="79" spans="1:16">
      <c r="A79" t="s">
        <v>243</v>
      </c>
    </row>
    <row r="80" spans="1:16">
      <c r="A80">
        <v>2016</v>
      </c>
    </row>
    <row r="81" spans="1:12">
      <c r="A81" t="s">
        <v>242</v>
      </c>
      <c r="B81" t="s">
        <v>241</v>
      </c>
      <c r="C81" t="s">
        <v>240</v>
      </c>
      <c r="D81" t="s">
        <v>239</v>
      </c>
      <c r="E81" t="s">
        <v>238</v>
      </c>
      <c r="F81" t="s">
        <v>237</v>
      </c>
      <c r="G81" t="s">
        <v>236</v>
      </c>
      <c r="H81" t="s">
        <v>235</v>
      </c>
      <c r="I81" t="s">
        <v>234</v>
      </c>
      <c r="J81" t="s">
        <v>233</v>
      </c>
      <c r="K81" t="s">
        <v>232</v>
      </c>
      <c r="L81" t="s">
        <v>231</v>
      </c>
    </row>
    <row r="82" spans="1:12">
      <c r="A82" t="s">
        <v>230</v>
      </c>
      <c r="B82">
        <v>586</v>
      </c>
      <c r="C82" s="33">
        <v>42732</v>
      </c>
      <c r="D82" t="s">
        <v>229</v>
      </c>
      <c r="E82">
        <v>25000</v>
      </c>
      <c r="F82">
        <v>17465</v>
      </c>
      <c r="G82">
        <v>23156.53</v>
      </c>
      <c r="H82">
        <f>F82+G82</f>
        <v>40621.53</v>
      </c>
      <c r="I82">
        <v>0</v>
      </c>
      <c r="J82">
        <v>23156.53</v>
      </c>
      <c r="K82">
        <f t="shared" ref="K82:K94" si="0">I82+J82</f>
        <v>23156.53</v>
      </c>
      <c r="L82" s="32">
        <f t="shared" ref="L82:L101" si="1">IF(OR(H82=0,H82="N/A"),"-",1-((H82-K82)/H82))</f>
        <v>0.57005558382463684</v>
      </c>
    </row>
    <row r="83" spans="1:12">
      <c r="A83" t="s">
        <v>197</v>
      </c>
      <c r="B83" t="s">
        <v>227</v>
      </c>
      <c r="C83" s="33">
        <v>42754</v>
      </c>
      <c r="D83" t="s">
        <v>228</v>
      </c>
      <c r="E83">
        <v>25000</v>
      </c>
      <c r="F83">
        <v>85949.86</v>
      </c>
      <c r="G83">
        <v>13609.92</v>
      </c>
      <c r="H83">
        <f>85949.86+11225</f>
        <v>97174.86</v>
      </c>
      <c r="I83">
        <v>39040.93</v>
      </c>
      <c r="J83">
        <v>13609.92</v>
      </c>
      <c r="K83">
        <f t="shared" si="0"/>
        <v>52650.85</v>
      </c>
      <c r="L83" s="32">
        <f t="shared" si="1"/>
        <v>0.54181554776616092</v>
      </c>
    </row>
    <row r="84" spans="1:12">
      <c r="A84" t="s">
        <v>197</v>
      </c>
      <c r="B84" t="s">
        <v>227</v>
      </c>
      <c r="C84" s="33">
        <v>42837</v>
      </c>
      <c r="D84" t="s">
        <v>226</v>
      </c>
      <c r="E84">
        <v>0</v>
      </c>
      <c r="F84">
        <v>0</v>
      </c>
      <c r="G84">
        <v>19830.39</v>
      </c>
      <c r="H84">
        <f t="shared" ref="H84:H90" si="2">F84+G84</f>
        <v>19830.39</v>
      </c>
      <c r="I84">
        <v>0</v>
      </c>
      <c r="J84">
        <v>19830.39</v>
      </c>
      <c r="K84">
        <f t="shared" si="0"/>
        <v>19830.39</v>
      </c>
      <c r="L84" s="32">
        <f t="shared" si="1"/>
        <v>1</v>
      </c>
    </row>
    <row r="85" spans="1:12">
      <c r="A85" t="s">
        <v>225</v>
      </c>
      <c r="B85">
        <v>70520</v>
      </c>
      <c r="C85" s="33">
        <v>42893</v>
      </c>
      <c r="D85" t="s">
        <v>224</v>
      </c>
      <c r="E85">
        <v>25000</v>
      </c>
      <c r="F85">
        <v>159564</v>
      </c>
      <c r="G85">
        <v>18812.740000000002</v>
      </c>
      <c r="H85">
        <f t="shared" si="2"/>
        <v>178376.74</v>
      </c>
      <c r="I85">
        <v>59940.56</v>
      </c>
      <c r="J85">
        <v>18812.740000000002</v>
      </c>
      <c r="K85">
        <f t="shared" si="0"/>
        <v>78753.3</v>
      </c>
      <c r="L85" s="32">
        <f t="shared" si="1"/>
        <v>0.44149982783629749</v>
      </c>
    </row>
    <row r="86" spans="1:12">
      <c r="A86" t="s">
        <v>223</v>
      </c>
      <c r="B86">
        <v>8197</v>
      </c>
      <c r="C86" s="33">
        <v>42900</v>
      </c>
      <c r="D86" t="s">
        <v>222</v>
      </c>
      <c r="E86">
        <v>25000</v>
      </c>
      <c r="F86">
        <v>36933</v>
      </c>
      <c r="G86">
        <v>31804.38</v>
      </c>
      <c r="H86">
        <f t="shared" si="2"/>
        <v>68737.38</v>
      </c>
      <c r="I86">
        <v>0</v>
      </c>
      <c r="J86">
        <f>G86</f>
        <v>31804.38</v>
      </c>
      <c r="K86">
        <f t="shared" si="0"/>
        <v>31804.38</v>
      </c>
      <c r="L86" s="32">
        <f t="shared" si="1"/>
        <v>0.46269409744741508</v>
      </c>
    </row>
    <row r="87" spans="1:12">
      <c r="A87" t="s">
        <v>221</v>
      </c>
      <c r="B87" t="s">
        <v>220</v>
      </c>
      <c r="C87" s="33">
        <v>43013</v>
      </c>
      <c r="D87" t="s">
        <v>219</v>
      </c>
      <c r="E87">
        <v>5000</v>
      </c>
      <c r="F87">
        <v>22864.89</v>
      </c>
      <c r="G87">
        <v>19124.580000000002</v>
      </c>
      <c r="H87">
        <f t="shared" si="2"/>
        <v>41989.47</v>
      </c>
      <c r="I87">
        <v>17121.330000000002</v>
      </c>
      <c r="J87">
        <f>G87</f>
        <v>19124.580000000002</v>
      </c>
      <c r="K87">
        <f t="shared" si="0"/>
        <v>36245.910000000003</v>
      </c>
      <c r="L87" s="32">
        <f t="shared" si="1"/>
        <v>0.86321427729380729</v>
      </c>
    </row>
    <row r="88" spans="1:12">
      <c r="A88" t="s">
        <v>218</v>
      </c>
      <c r="B88" t="s">
        <v>217</v>
      </c>
      <c r="C88" s="33">
        <v>43003</v>
      </c>
      <c r="D88" t="s">
        <v>216</v>
      </c>
      <c r="E88">
        <v>5000</v>
      </c>
      <c r="F88">
        <v>10246.36</v>
      </c>
      <c r="G88">
        <v>0</v>
      </c>
      <c r="H88">
        <f t="shared" si="2"/>
        <v>10246.36</v>
      </c>
      <c r="I88">
        <v>533.03</v>
      </c>
      <c r="J88">
        <v>0</v>
      </c>
      <c r="K88">
        <f t="shared" si="0"/>
        <v>533.03</v>
      </c>
      <c r="L88" s="32">
        <f t="shared" si="1"/>
        <v>5.2021400770615234E-2</v>
      </c>
    </row>
    <row r="89" spans="1:12">
      <c r="A89" t="s">
        <v>215</v>
      </c>
      <c r="B89" t="s">
        <v>214</v>
      </c>
      <c r="C89" s="33">
        <v>43003</v>
      </c>
      <c r="D89" t="s">
        <v>204</v>
      </c>
      <c r="E89">
        <v>50000</v>
      </c>
      <c r="F89">
        <v>157194.74</v>
      </c>
      <c r="G89">
        <v>0</v>
      </c>
      <c r="H89">
        <f t="shared" si="2"/>
        <v>157194.74</v>
      </c>
      <c r="I89">
        <f>18976.18*2</f>
        <v>37952.36</v>
      </c>
      <c r="J89">
        <v>0</v>
      </c>
      <c r="K89">
        <f t="shared" si="0"/>
        <v>37952.36</v>
      </c>
      <c r="L89" s="32">
        <f t="shared" si="1"/>
        <v>0.24143530502356503</v>
      </c>
    </row>
    <row r="90" spans="1:12">
      <c r="A90" t="s">
        <v>213</v>
      </c>
      <c r="B90" t="s">
        <v>212</v>
      </c>
      <c r="C90" s="33">
        <v>43154</v>
      </c>
      <c r="D90" t="s">
        <v>211</v>
      </c>
      <c r="E90">
        <v>25000</v>
      </c>
      <c r="F90">
        <v>3071.64</v>
      </c>
      <c r="G90">
        <v>5367.13</v>
      </c>
      <c r="H90">
        <f t="shared" si="2"/>
        <v>8438.77</v>
      </c>
      <c r="I90">
        <v>0</v>
      </c>
      <c r="J90">
        <v>5367.13</v>
      </c>
      <c r="K90">
        <f t="shared" si="0"/>
        <v>5367.13</v>
      </c>
      <c r="L90" s="32">
        <f t="shared" si="1"/>
        <v>0.63600856522929283</v>
      </c>
    </row>
    <row r="91" spans="1:12">
      <c r="A91" t="s">
        <v>210</v>
      </c>
      <c r="B91" t="s">
        <v>209</v>
      </c>
      <c r="C91" s="33">
        <v>43099</v>
      </c>
      <c r="D91" t="s">
        <v>208</v>
      </c>
      <c r="E91">
        <v>5000</v>
      </c>
      <c r="F91">
        <v>27608.080000000002</v>
      </c>
      <c r="G91">
        <v>15461.43</v>
      </c>
      <c r="H91">
        <v>43069.51</v>
      </c>
      <c r="I91">
        <v>9887.84</v>
      </c>
      <c r="J91">
        <v>15461.43</v>
      </c>
      <c r="K91">
        <f t="shared" si="0"/>
        <v>25349.27</v>
      </c>
      <c r="L91" s="32">
        <f t="shared" si="1"/>
        <v>0.58856648241412546</v>
      </c>
    </row>
    <row r="92" spans="1:12">
      <c r="A92" t="s">
        <v>207</v>
      </c>
      <c r="B92">
        <v>70080</v>
      </c>
      <c r="C92" s="33">
        <v>43041</v>
      </c>
      <c r="D92" t="s">
        <v>206</v>
      </c>
      <c r="E92">
        <v>25000</v>
      </c>
      <c r="F92">
        <v>40537.67</v>
      </c>
      <c r="G92">
        <v>9372.65</v>
      </c>
      <c r="H92">
        <f>F92+G92</f>
        <v>49910.32</v>
      </c>
      <c r="I92">
        <v>11362.4</v>
      </c>
      <c r="J92">
        <v>9372.65</v>
      </c>
      <c r="K92">
        <f t="shared" si="0"/>
        <v>20735.05</v>
      </c>
      <c r="L92" s="32">
        <f t="shared" si="1"/>
        <v>0.41544614420424475</v>
      </c>
    </row>
    <row r="93" spans="1:12">
      <c r="A93" t="s">
        <v>205</v>
      </c>
      <c r="B93">
        <v>70174</v>
      </c>
      <c r="C93" s="33">
        <v>43115</v>
      </c>
      <c r="D93" t="s">
        <v>204</v>
      </c>
      <c r="E93">
        <v>5000</v>
      </c>
      <c r="F93">
        <v>33168.74</v>
      </c>
      <c r="G93">
        <v>0</v>
      </c>
      <c r="H93">
        <v>33168.74</v>
      </c>
      <c r="I93">
        <v>10164.43</v>
      </c>
      <c r="J93">
        <v>0</v>
      </c>
      <c r="K93">
        <f t="shared" si="0"/>
        <v>10164.43</v>
      </c>
      <c r="L93" s="32">
        <f t="shared" si="1"/>
        <v>0.30644606940149066</v>
      </c>
    </row>
    <row r="94" spans="1:12">
      <c r="A94" t="s">
        <v>203</v>
      </c>
      <c r="B94">
        <v>70394</v>
      </c>
      <c r="C94" s="33">
        <v>43078</v>
      </c>
      <c r="D94" t="s">
        <v>202</v>
      </c>
      <c r="E94">
        <v>25000</v>
      </c>
      <c r="F94">
        <v>106637.11</v>
      </c>
      <c r="G94">
        <v>32425.03</v>
      </c>
      <c r="H94">
        <f>F94+G94</f>
        <v>139062.14000000001</v>
      </c>
      <c r="I94">
        <v>32467.27</v>
      </c>
      <c r="J94">
        <v>32425.03</v>
      </c>
      <c r="K94">
        <f t="shared" si="0"/>
        <v>64892.3</v>
      </c>
      <c r="L94" s="32">
        <f t="shared" si="1"/>
        <v>0.46664246645420526</v>
      </c>
    </row>
    <row r="95" spans="1:12">
      <c r="A95" t="s">
        <v>201</v>
      </c>
      <c r="B95" t="s">
        <v>200</v>
      </c>
      <c r="C95" s="33">
        <v>43180</v>
      </c>
      <c r="D95" t="s">
        <v>199</v>
      </c>
      <c r="E95">
        <v>25000</v>
      </c>
      <c r="F95" t="s">
        <v>198</v>
      </c>
      <c r="G95" t="s">
        <v>198</v>
      </c>
      <c r="H95" t="s">
        <v>198</v>
      </c>
      <c r="I95" t="s">
        <v>198</v>
      </c>
      <c r="J95" t="s">
        <v>198</v>
      </c>
      <c r="K95" t="s">
        <v>198</v>
      </c>
      <c r="L95" s="32" t="str">
        <f t="shared" si="1"/>
        <v>-</v>
      </c>
    </row>
    <row r="96" spans="1:12">
      <c r="A96" t="s">
        <v>197</v>
      </c>
      <c r="B96">
        <v>575</v>
      </c>
      <c r="C96" s="33">
        <v>43164</v>
      </c>
      <c r="D96" t="s">
        <v>196</v>
      </c>
      <c r="E96">
        <v>25000</v>
      </c>
      <c r="F96">
        <v>28257.8</v>
      </c>
      <c r="G96">
        <v>17255.38</v>
      </c>
      <c r="H96">
        <f>F96+G96</f>
        <v>45513.18</v>
      </c>
      <c r="I96">
        <v>0</v>
      </c>
      <c r="J96">
        <v>17255.38</v>
      </c>
      <c r="K96">
        <f>I96+J96</f>
        <v>17255.38</v>
      </c>
      <c r="L96" s="32">
        <f t="shared" si="1"/>
        <v>0.37912929837027431</v>
      </c>
    </row>
    <row r="97" spans="1:12">
      <c r="A97" t="s">
        <v>197</v>
      </c>
      <c r="B97">
        <v>573</v>
      </c>
      <c r="C97" s="33">
        <v>43157</v>
      </c>
      <c r="D97" t="s">
        <v>196</v>
      </c>
      <c r="E97">
        <v>25000</v>
      </c>
      <c r="F97">
        <v>19924.87</v>
      </c>
      <c r="G97">
        <v>12070.23</v>
      </c>
      <c r="H97">
        <f>F97+G97</f>
        <v>31995.1</v>
      </c>
      <c r="I97">
        <v>0</v>
      </c>
      <c r="J97">
        <v>12070.23</v>
      </c>
      <c r="K97">
        <f>I97+J97</f>
        <v>12070.23</v>
      </c>
      <c r="L97" s="32">
        <f t="shared" si="1"/>
        <v>0.377252454282062</v>
      </c>
    </row>
    <row r="98" spans="1:12">
      <c r="L98" s="32" t="str">
        <f t="shared" si="1"/>
        <v>-</v>
      </c>
    </row>
    <row r="99" spans="1:12">
      <c r="L99" s="32" t="str">
        <f t="shared" si="1"/>
        <v>-</v>
      </c>
    </row>
    <row r="100" spans="1:12">
      <c r="L100" s="32" t="str">
        <f t="shared" si="1"/>
        <v>-</v>
      </c>
    </row>
    <row r="101" spans="1:12">
      <c r="L101" s="32" t="str">
        <f t="shared" si="1"/>
        <v>-</v>
      </c>
    </row>
    <row r="102" spans="1:12">
      <c r="F102" s="31">
        <f t="shared" ref="F102:K102" si="3">SUM(F82:F94)</f>
        <v>701241.09</v>
      </c>
      <c r="G102" s="31">
        <f t="shared" si="3"/>
        <v>188964.78</v>
      </c>
      <c r="H102" s="31">
        <f t="shared" si="3"/>
        <v>887820.95</v>
      </c>
      <c r="I102" s="31">
        <f t="shared" si="3"/>
        <v>218470.14999999997</v>
      </c>
      <c r="J102" s="31">
        <f t="shared" si="3"/>
        <v>188964.78</v>
      </c>
      <c r="K102" s="31">
        <f t="shared" si="3"/>
        <v>407434.93</v>
      </c>
      <c r="L102" s="30">
        <f>AVERAGE(L82:L101)</f>
        <v>0.48948183468787959</v>
      </c>
    </row>
  </sheetData>
  <sheetProtection algorithmName="SHA-512" hashValue="WLCLVkCNmgtS1SZB+VqH2J4wE/QcWWrh1j2tTZPxfssW40cVB+wZ5DgFc3aUszaBFqQr/2V4C+C+OIZDOXylvg==" saltValue="8h/Fc01c0vOy0drmBs1Ulw==" spinCount="100000" sheet="1" objects="1" scenarios="1"/>
  <mergeCells count="3">
    <mergeCell ref="P4:P18"/>
    <mergeCell ref="P20:P58"/>
    <mergeCell ref="P60:P77"/>
  </mergeCells>
  <pageMargins left="0.7" right="0.7" top="0.78740157499999996" bottom="0.78740157499999996"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5"/>
  <dimension ref="A1:J12"/>
  <sheetViews>
    <sheetView topLeftCell="A2" zoomScaleNormal="100" workbookViewId="0">
      <selection activeCell="J19" sqref="J19"/>
    </sheetView>
  </sheetViews>
  <sheetFormatPr baseColWidth="10" defaultRowHeight="15"/>
  <cols>
    <col min="3" max="3" width="26.28515625" customWidth="1"/>
    <col min="4" max="4" width="33.7109375" customWidth="1"/>
    <col min="5" max="5" width="30" customWidth="1"/>
  </cols>
  <sheetData>
    <row r="1" spans="1:10">
      <c r="A1" t="s">
        <v>446</v>
      </c>
      <c r="B1" t="s">
        <v>445</v>
      </c>
      <c r="C1" t="s">
        <v>576</v>
      </c>
      <c r="D1" t="s">
        <v>577</v>
      </c>
      <c r="E1" t="s">
        <v>578</v>
      </c>
      <c r="F1" t="s">
        <v>641</v>
      </c>
      <c r="G1" t="s">
        <v>643</v>
      </c>
    </row>
    <row r="2" spans="1:10">
      <c r="A2" t="s">
        <v>36</v>
      </c>
      <c r="C2">
        <v>1600</v>
      </c>
      <c r="D2">
        <v>40000</v>
      </c>
      <c r="E2">
        <v>20000</v>
      </c>
      <c r="F2" s="273">
        <v>0.08</v>
      </c>
      <c r="G2" s="273">
        <v>0.05</v>
      </c>
    </row>
    <row r="3" spans="1:10">
      <c r="A3" t="s">
        <v>40</v>
      </c>
      <c r="C3">
        <v>1600</v>
      </c>
      <c r="D3">
        <v>40000</v>
      </c>
      <c r="E3">
        <v>20000</v>
      </c>
      <c r="F3" s="273">
        <v>0.08</v>
      </c>
      <c r="G3" s="273">
        <v>0.05</v>
      </c>
    </row>
    <row r="4" spans="1:10">
      <c r="A4" t="s">
        <v>44</v>
      </c>
      <c r="B4">
        <v>55</v>
      </c>
      <c r="C4">
        <v>1235</v>
      </c>
      <c r="D4">
        <v>73500</v>
      </c>
      <c r="E4">
        <v>21000</v>
      </c>
      <c r="F4" s="273">
        <v>0.08</v>
      </c>
      <c r="G4" s="273">
        <v>0.05</v>
      </c>
      <c r="J4" s="43"/>
    </row>
    <row r="5" spans="1:10">
      <c r="A5" t="s">
        <v>11</v>
      </c>
      <c r="B5" s="43">
        <v>30</v>
      </c>
      <c r="C5">
        <v>1600</v>
      </c>
      <c r="D5">
        <v>48000</v>
      </c>
      <c r="E5">
        <v>20000</v>
      </c>
      <c r="F5" s="273">
        <v>0</v>
      </c>
      <c r="G5" s="273">
        <v>0</v>
      </c>
    </row>
    <row r="6" spans="1:10">
      <c r="A6" t="s">
        <v>51</v>
      </c>
      <c r="B6">
        <v>31</v>
      </c>
      <c r="C6">
        <v>1600</v>
      </c>
      <c r="D6">
        <v>40000</v>
      </c>
      <c r="E6">
        <v>20000</v>
      </c>
      <c r="F6" s="273">
        <v>0.08</v>
      </c>
      <c r="G6" s="273">
        <v>0.05</v>
      </c>
    </row>
    <row r="7" spans="1:10">
      <c r="A7" t="s">
        <v>55</v>
      </c>
      <c r="B7" s="43">
        <v>21.68</v>
      </c>
      <c r="C7">
        <v>1600</v>
      </c>
      <c r="D7">
        <v>45000</v>
      </c>
      <c r="E7">
        <v>20000</v>
      </c>
      <c r="F7" s="273">
        <v>0.08</v>
      </c>
      <c r="G7" s="273">
        <v>0.05</v>
      </c>
    </row>
    <row r="8" spans="1:10">
      <c r="A8" t="s">
        <v>59</v>
      </c>
      <c r="B8" s="43">
        <v>22.64</v>
      </c>
      <c r="C8">
        <v>1725</v>
      </c>
      <c r="D8">
        <v>38000</v>
      </c>
      <c r="E8">
        <v>10000</v>
      </c>
      <c r="F8" s="273">
        <v>0.08</v>
      </c>
      <c r="G8" s="273">
        <v>0.05</v>
      </c>
    </row>
    <row r="9" spans="1:10">
      <c r="A9" t="s">
        <v>63</v>
      </c>
      <c r="B9">
        <v>36</v>
      </c>
      <c r="C9">
        <v>1600</v>
      </c>
      <c r="D9">
        <v>59400</v>
      </c>
      <c r="E9">
        <v>40000</v>
      </c>
      <c r="F9" s="273">
        <v>0.08</v>
      </c>
      <c r="G9" s="273">
        <v>0.05</v>
      </c>
    </row>
    <row r="10" spans="1:10">
      <c r="A10" t="s">
        <v>67</v>
      </c>
      <c r="B10">
        <f>Tabelle1[[#This Row],[Yearly Expenses - Service Technican]]/Tabelle1[[#This Row],[Yearly hours Service Technican]]</f>
        <v>29.0625</v>
      </c>
      <c r="C10">
        <v>1600</v>
      </c>
      <c r="D10">
        <v>46500</v>
      </c>
      <c r="E10">
        <v>20000</v>
      </c>
      <c r="F10" s="273">
        <v>0.08</v>
      </c>
      <c r="G10" s="273">
        <v>0.05</v>
      </c>
    </row>
    <row r="11" spans="1:10">
      <c r="A11" t="s">
        <v>68</v>
      </c>
      <c r="C11">
        <v>1600</v>
      </c>
      <c r="D11">
        <v>40000</v>
      </c>
      <c r="E11">
        <v>20000</v>
      </c>
      <c r="F11" s="273">
        <v>0.08</v>
      </c>
      <c r="G11" s="273">
        <v>0.05</v>
      </c>
    </row>
    <row r="12" spans="1:10">
      <c r="A12" t="s">
        <v>742</v>
      </c>
      <c r="B12">
        <f t="shared" ref="B12:G12" si="0">B6</f>
        <v>31</v>
      </c>
      <c r="C12" s="336">
        <f t="shared" si="0"/>
        <v>1600</v>
      </c>
      <c r="D12" s="336">
        <f t="shared" si="0"/>
        <v>40000</v>
      </c>
      <c r="E12" s="336">
        <f t="shared" si="0"/>
        <v>20000</v>
      </c>
      <c r="F12" s="32">
        <f t="shared" si="0"/>
        <v>0.08</v>
      </c>
      <c r="G12" s="32">
        <f t="shared" si="0"/>
        <v>0.05</v>
      </c>
    </row>
  </sheetData>
  <sheetProtection algorithmName="SHA-512" hashValue="nXr5oFIf272mUb4nporkt3peN13RhP3hIhBcLPaO7FTh9CQEyuVUY2AmlNfjVh85DNw+E4qGkffjnhU3x+yX3w==" saltValue="W9IjMK0SYva/gJlBQkBjCQ==" spinCount="100000" sheet="1" objects="1" scenarios="1"/>
  <pageMargins left="0.7" right="0.7" top="0.78740157499999996" bottom="0.78740157499999996" header="0.3" footer="0.3"/>
  <pageSetup paperSize="9" orientation="portrait" r:id="rId1"/>
  <legacy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6"/>
  <dimension ref="B3:T129"/>
  <sheetViews>
    <sheetView zoomScale="70" zoomScaleNormal="70" workbookViewId="0">
      <selection activeCell="P31" sqref="P31"/>
    </sheetView>
  </sheetViews>
  <sheetFormatPr baseColWidth="10" defaultRowHeight="15"/>
  <cols>
    <col min="2" max="2" width="26.140625" customWidth="1"/>
    <col min="3" max="3" width="37.28515625" customWidth="1"/>
    <col min="4" max="4" width="23.140625" customWidth="1"/>
    <col min="5" max="5" width="17.5703125" customWidth="1"/>
    <col min="6" max="6" width="17.42578125" customWidth="1"/>
    <col min="7" max="7" width="20.140625" customWidth="1"/>
    <col min="8" max="8" width="15.85546875" customWidth="1"/>
    <col min="9" max="9" width="11.42578125" customWidth="1"/>
    <col min="10" max="10" width="15" customWidth="1"/>
    <col min="12" max="12" width="13.140625" customWidth="1"/>
    <col min="13" max="13" width="20.5703125" customWidth="1"/>
  </cols>
  <sheetData>
    <row r="3" spans="2:20">
      <c r="B3" t="s">
        <v>28</v>
      </c>
      <c r="C3" t="s">
        <v>29</v>
      </c>
      <c r="D3" t="s">
        <v>30</v>
      </c>
      <c r="E3" t="s">
        <v>31</v>
      </c>
      <c r="F3" t="s">
        <v>32</v>
      </c>
      <c r="G3" t="s">
        <v>33</v>
      </c>
      <c r="I3" t="s">
        <v>79</v>
      </c>
      <c r="J3" t="s">
        <v>80</v>
      </c>
      <c r="K3" t="s">
        <v>81</v>
      </c>
      <c r="L3" t="s">
        <v>82</v>
      </c>
      <c r="M3" t="s">
        <v>83</v>
      </c>
      <c r="N3" t="s">
        <v>84</v>
      </c>
      <c r="O3" t="s">
        <v>631</v>
      </c>
      <c r="P3" t="s">
        <v>648</v>
      </c>
      <c r="Q3" t="s">
        <v>675</v>
      </c>
      <c r="R3" t="s">
        <v>785</v>
      </c>
      <c r="S3" t="s">
        <v>791</v>
      </c>
      <c r="T3" s="304"/>
    </row>
    <row r="4" spans="2:20">
      <c r="B4" t="s">
        <v>34</v>
      </c>
      <c r="C4" t="s">
        <v>35</v>
      </c>
      <c r="D4" t="str">
        <f>"+49 175 56 95 60 4"</f>
        <v>+49 175 56 95 60 4</v>
      </c>
      <c r="E4" t="s">
        <v>783</v>
      </c>
      <c r="F4" t="s">
        <v>11</v>
      </c>
      <c r="I4" t="s">
        <v>12</v>
      </c>
      <c r="J4" t="s">
        <v>15</v>
      </c>
      <c r="K4" t="s">
        <v>85</v>
      </c>
      <c r="L4" t="s">
        <v>86</v>
      </c>
      <c r="M4" t="s">
        <v>87</v>
      </c>
      <c r="N4" t="s">
        <v>88</v>
      </c>
      <c r="O4" t="s">
        <v>633</v>
      </c>
      <c r="P4" t="s">
        <v>650</v>
      </c>
      <c r="Q4">
        <v>75</v>
      </c>
      <c r="R4" t="s">
        <v>786</v>
      </c>
      <c r="S4" t="s">
        <v>792</v>
      </c>
      <c r="T4" s="304"/>
    </row>
    <row r="5" spans="2:20">
      <c r="B5" t="s">
        <v>37</v>
      </c>
      <c r="C5" t="s">
        <v>38</v>
      </c>
      <c r="D5" t="s">
        <v>39</v>
      </c>
      <c r="E5" t="s">
        <v>23</v>
      </c>
      <c r="F5" t="s">
        <v>40</v>
      </c>
      <c r="I5" t="s">
        <v>89</v>
      </c>
      <c r="J5" t="s">
        <v>18</v>
      </c>
      <c r="K5" t="s">
        <v>775</v>
      </c>
      <c r="L5">
        <v>0.95</v>
      </c>
      <c r="M5" t="s">
        <v>90</v>
      </c>
      <c r="N5" t="s">
        <v>3</v>
      </c>
      <c r="O5" t="s">
        <v>632</v>
      </c>
      <c r="P5" t="s">
        <v>651</v>
      </c>
      <c r="Q5">
        <v>90</v>
      </c>
      <c r="R5" t="s">
        <v>787</v>
      </c>
      <c r="S5" t="s">
        <v>793</v>
      </c>
    </row>
    <row r="6" spans="2:20">
      <c r="B6" t="s">
        <v>41</v>
      </c>
      <c r="C6" t="s">
        <v>42</v>
      </c>
      <c r="D6" t="s">
        <v>43</v>
      </c>
      <c r="E6" t="s">
        <v>783</v>
      </c>
      <c r="F6" t="s">
        <v>44</v>
      </c>
      <c r="K6" t="s">
        <v>91</v>
      </c>
      <c r="L6">
        <v>0.96</v>
      </c>
      <c r="N6" t="s">
        <v>634</v>
      </c>
      <c r="O6" t="s">
        <v>771</v>
      </c>
      <c r="Q6">
        <v>100</v>
      </c>
    </row>
    <row r="7" spans="2:20">
      <c r="B7" t="s">
        <v>45</v>
      </c>
      <c r="C7" t="s">
        <v>46</v>
      </c>
      <c r="D7" t="s">
        <v>47</v>
      </c>
      <c r="E7" t="s">
        <v>23</v>
      </c>
      <c r="F7" t="s">
        <v>11</v>
      </c>
      <c r="K7" t="s">
        <v>17</v>
      </c>
      <c r="L7">
        <v>0.97</v>
      </c>
      <c r="N7" t="s">
        <v>635</v>
      </c>
      <c r="O7" t="s">
        <v>772</v>
      </c>
      <c r="Q7">
        <v>115</v>
      </c>
    </row>
    <row r="8" spans="2:20">
      <c r="B8" t="s">
        <v>48</v>
      </c>
      <c r="C8" t="s">
        <v>49</v>
      </c>
      <c r="D8" t="s">
        <v>50</v>
      </c>
      <c r="E8" t="s">
        <v>23</v>
      </c>
      <c r="F8" t="s">
        <v>51</v>
      </c>
      <c r="K8" t="s">
        <v>501</v>
      </c>
      <c r="L8">
        <v>0.97499999999999998</v>
      </c>
      <c r="N8" t="s">
        <v>636</v>
      </c>
      <c r="Q8">
        <v>125</v>
      </c>
    </row>
    <row r="9" spans="2:20">
      <c r="B9" t="s">
        <v>52</v>
      </c>
      <c r="C9" t="s">
        <v>53</v>
      </c>
      <c r="D9" t="s">
        <v>54</v>
      </c>
      <c r="E9" t="s">
        <v>23</v>
      </c>
      <c r="F9" t="s">
        <v>55</v>
      </c>
      <c r="K9" t="s">
        <v>503</v>
      </c>
      <c r="L9">
        <v>0.98</v>
      </c>
      <c r="N9" t="s">
        <v>637</v>
      </c>
    </row>
    <row r="10" spans="2:20">
      <c r="B10" t="s">
        <v>56</v>
      </c>
      <c r="C10" t="s">
        <v>57</v>
      </c>
      <c r="D10" t="s">
        <v>58</v>
      </c>
      <c r="E10" t="s">
        <v>23</v>
      </c>
      <c r="F10" t="s">
        <v>59</v>
      </c>
      <c r="L10">
        <v>0.98499999999999999</v>
      </c>
      <c r="N10" t="s">
        <v>638</v>
      </c>
    </row>
    <row r="11" spans="2:20">
      <c r="B11" t="s">
        <v>60</v>
      </c>
      <c r="C11" t="s">
        <v>61</v>
      </c>
      <c r="D11" t="s">
        <v>62</v>
      </c>
      <c r="E11" t="s">
        <v>23</v>
      </c>
      <c r="F11" t="s">
        <v>63</v>
      </c>
      <c r="L11">
        <v>0.99</v>
      </c>
    </row>
    <row r="12" spans="2:20">
      <c r="B12" t="s">
        <v>64</v>
      </c>
      <c r="C12" t="s">
        <v>65</v>
      </c>
      <c r="D12" t="s">
        <v>66</v>
      </c>
      <c r="E12" t="s">
        <v>23</v>
      </c>
      <c r="F12" t="s">
        <v>67</v>
      </c>
    </row>
    <row r="13" spans="2:20">
      <c r="B13" s="602" t="s">
        <v>806</v>
      </c>
      <c r="C13" s="603" t="s">
        <v>807</v>
      </c>
      <c r="D13" s="601" t="s">
        <v>808</v>
      </c>
      <c r="E13" t="s">
        <v>23</v>
      </c>
      <c r="F13" t="s">
        <v>68</v>
      </c>
    </row>
    <row r="14" spans="2:20">
      <c r="B14" t="s">
        <v>69</v>
      </c>
      <c r="C14" t="s">
        <v>70</v>
      </c>
      <c r="D14" t="s">
        <v>71</v>
      </c>
      <c r="E14" t="s">
        <v>23</v>
      </c>
      <c r="F14" t="s">
        <v>742</v>
      </c>
    </row>
    <row r="15" spans="2:20">
      <c r="B15" t="s">
        <v>72</v>
      </c>
      <c r="C15" t="s">
        <v>73</v>
      </c>
      <c r="D15" t="s">
        <v>74</v>
      </c>
      <c r="E15" t="s">
        <v>23</v>
      </c>
    </row>
    <row r="16" spans="2:20">
      <c r="B16" t="s">
        <v>75</v>
      </c>
      <c r="C16" t="s">
        <v>76</v>
      </c>
      <c r="D16" t="s">
        <v>77</v>
      </c>
      <c r="E16" t="s">
        <v>78</v>
      </c>
    </row>
    <row r="17" spans="2:17">
      <c r="B17" t="s">
        <v>781</v>
      </c>
      <c r="C17" s="523" t="s">
        <v>782</v>
      </c>
      <c r="D17" t="str">
        <f>"+49 174 91 84 90 3"</f>
        <v>+49 174 91 84 90 3</v>
      </c>
      <c r="E17" t="s">
        <v>783</v>
      </c>
      <c r="F17" t="s">
        <v>11</v>
      </c>
    </row>
    <row r="18" spans="2:17" s="523" customFormat="1">
      <c r="B18" s="523" t="s">
        <v>798</v>
      </c>
      <c r="C18" s="466" t="s">
        <v>799</v>
      </c>
      <c r="D18" s="523" t="str">
        <f>"+49 171 12 00 11 9"</f>
        <v>+49 171 12 00 11 9</v>
      </c>
      <c r="E18" s="523" t="s">
        <v>783</v>
      </c>
      <c r="F18" s="523" t="s">
        <v>11</v>
      </c>
    </row>
    <row r="20" spans="2:17">
      <c r="B20" t="s">
        <v>97</v>
      </c>
      <c r="C20" t="s">
        <v>106</v>
      </c>
      <c r="D20" t="s">
        <v>114</v>
      </c>
      <c r="E20" t="s">
        <v>122</v>
      </c>
      <c r="F20" t="s">
        <v>130</v>
      </c>
      <c r="G20" t="s">
        <v>142</v>
      </c>
      <c r="H20" t="s">
        <v>654</v>
      </c>
      <c r="I20" t="s">
        <v>734</v>
      </c>
    </row>
    <row r="21" spans="2:17">
      <c r="B21" t="s">
        <v>98</v>
      </c>
      <c r="C21" t="s">
        <v>107</v>
      </c>
      <c r="D21" t="s">
        <v>115</v>
      </c>
      <c r="E21" t="s">
        <v>123</v>
      </c>
      <c r="F21" t="s">
        <v>131</v>
      </c>
      <c r="G21" t="s">
        <v>143</v>
      </c>
      <c r="H21" t="s">
        <v>655</v>
      </c>
      <c r="I21" s="405" t="s">
        <v>726</v>
      </c>
    </row>
    <row r="22" spans="2:17">
      <c r="B22" t="s">
        <v>99</v>
      </c>
      <c r="C22" t="s">
        <v>108</v>
      </c>
      <c r="D22" t="s">
        <v>116</v>
      </c>
      <c r="E22" t="s">
        <v>124</v>
      </c>
      <c r="F22" t="s">
        <v>132</v>
      </c>
      <c r="G22" t="s">
        <v>144</v>
      </c>
      <c r="H22" t="s">
        <v>656</v>
      </c>
      <c r="I22" s="405" t="s">
        <v>727</v>
      </c>
      <c r="Q22" s="226"/>
    </row>
    <row r="23" spans="2:17">
      <c r="B23" t="s">
        <v>100</v>
      </c>
      <c r="C23" t="s">
        <v>109</v>
      </c>
      <c r="D23" t="s">
        <v>117</v>
      </c>
      <c r="E23" t="s">
        <v>125</v>
      </c>
      <c r="F23" t="s">
        <v>133</v>
      </c>
      <c r="G23" t="s">
        <v>145</v>
      </c>
      <c r="H23" t="s">
        <v>657</v>
      </c>
      <c r="I23" s="405" t="s">
        <v>728</v>
      </c>
      <c r="Q23" s="226"/>
    </row>
    <row r="24" spans="2:17">
      <c r="B24" t="s">
        <v>101</v>
      </c>
      <c r="C24" t="s">
        <v>110</v>
      </c>
      <c r="D24" t="s">
        <v>118</v>
      </c>
      <c r="E24" t="s">
        <v>126</v>
      </c>
      <c r="F24" t="s">
        <v>134</v>
      </c>
      <c r="G24" s="523" t="s">
        <v>800</v>
      </c>
      <c r="H24" t="s">
        <v>658</v>
      </c>
      <c r="I24" s="405" t="s">
        <v>729</v>
      </c>
    </row>
    <row r="25" spans="2:17">
      <c r="B25" t="s">
        <v>102</v>
      </c>
      <c r="C25" t="s">
        <v>111</v>
      </c>
      <c r="D25" t="s">
        <v>119</v>
      </c>
      <c r="E25" t="s">
        <v>127</v>
      </c>
      <c r="F25" t="s">
        <v>135</v>
      </c>
      <c r="G25" t="s">
        <v>146</v>
      </c>
      <c r="H25" t="s">
        <v>659</v>
      </c>
      <c r="I25" s="405" t="s">
        <v>730</v>
      </c>
    </row>
    <row r="26" spans="2:17">
      <c r="B26" t="s">
        <v>103</v>
      </c>
      <c r="C26" t="s">
        <v>746</v>
      </c>
      <c r="D26" t="s">
        <v>120</v>
      </c>
      <c r="E26" t="s">
        <v>128</v>
      </c>
      <c r="F26" t="s">
        <v>136</v>
      </c>
      <c r="G26" t="s">
        <v>147</v>
      </c>
      <c r="H26" t="s">
        <v>660</v>
      </c>
      <c r="I26" s="405" t="s">
        <v>731</v>
      </c>
    </row>
    <row r="27" spans="2:17">
      <c r="C27" t="s">
        <v>112</v>
      </c>
      <c r="D27" t="s">
        <v>121</v>
      </c>
      <c r="E27" t="s">
        <v>129</v>
      </c>
      <c r="G27" t="s">
        <v>148</v>
      </c>
      <c r="H27" t="s">
        <v>661</v>
      </c>
      <c r="I27" s="405" t="s">
        <v>732</v>
      </c>
    </row>
    <row r="28" spans="2:17">
      <c r="C28" t="s">
        <v>113</v>
      </c>
      <c r="E28" t="s">
        <v>137</v>
      </c>
      <c r="G28" t="s">
        <v>149</v>
      </c>
      <c r="H28" t="s">
        <v>662</v>
      </c>
      <c r="I28" t="s">
        <v>733</v>
      </c>
    </row>
    <row r="29" spans="2:17">
      <c r="E29" t="s">
        <v>138</v>
      </c>
      <c r="G29" t="s">
        <v>150</v>
      </c>
      <c r="H29" t="s">
        <v>663</v>
      </c>
    </row>
    <row r="30" spans="2:17">
      <c r="E30" t="s">
        <v>139</v>
      </c>
      <c r="G30" t="s">
        <v>151</v>
      </c>
      <c r="H30" t="s">
        <v>664</v>
      </c>
    </row>
    <row r="31" spans="2:17">
      <c r="E31" t="s">
        <v>140</v>
      </c>
      <c r="G31" t="s">
        <v>152</v>
      </c>
      <c r="H31" t="s">
        <v>665</v>
      </c>
    </row>
    <row r="32" spans="2:17">
      <c r="E32" t="s">
        <v>141</v>
      </c>
      <c r="G32" t="s">
        <v>153</v>
      </c>
      <c r="H32" t="s">
        <v>666</v>
      </c>
    </row>
    <row r="33" spans="7:8">
      <c r="G33" t="s">
        <v>154</v>
      </c>
      <c r="H33" t="s">
        <v>667</v>
      </c>
    </row>
    <row r="34" spans="7:8">
      <c r="G34" s="523"/>
      <c r="H34" t="s">
        <v>668</v>
      </c>
    </row>
    <row r="35" spans="7:8">
      <c r="H35" t="s">
        <v>669</v>
      </c>
    </row>
    <row r="36" spans="7:8">
      <c r="H36" t="s">
        <v>670</v>
      </c>
    </row>
    <row r="37" spans="7:8">
      <c r="H37" t="s">
        <v>671</v>
      </c>
    </row>
    <row r="38" spans="7:8">
      <c r="H38" t="s">
        <v>672</v>
      </c>
    </row>
    <row r="39" spans="7:8">
      <c r="H39" t="s">
        <v>673</v>
      </c>
    </row>
    <row r="40" spans="7:8">
      <c r="H40" s="405"/>
    </row>
    <row r="41" spans="7:8">
      <c r="H41" s="405"/>
    </row>
    <row r="42" spans="7:8">
      <c r="H42" s="405"/>
    </row>
    <row r="43" spans="7:8">
      <c r="H43" s="405"/>
    </row>
    <row r="44" spans="7:8">
      <c r="H44" s="405"/>
    </row>
    <row r="45" spans="7:8">
      <c r="H45" s="405"/>
    </row>
    <row r="46" spans="7:8">
      <c r="H46" s="405"/>
    </row>
    <row r="50" spans="2:5">
      <c r="B50" s="412" t="s">
        <v>736</v>
      </c>
      <c r="C50" s="413" t="s">
        <v>762</v>
      </c>
      <c r="E50" t="s">
        <v>763</v>
      </c>
    </row>
    <row r="51" spans="2:5">
      <c r="B51" s="414" t="s">
        <v>98</v>
      </c>
      <c r="C51" s="415">
        <v>750</v>
      </c>
      <c r="E51" s="495">
        <v>0.95</v>
      </c>
    </row>
    <row r="52" spans="2:5">
      <c r="B52" s="414" t="s">
        <v>99</v>
      </c>
      <c r="C52" s="415">
        <v>900</v>
      </c>
      <c r="E52" s="495">
        <v>0.95499999999999996</v>
      </c>
    </row>
    <row r="53" spans="2:5">
      <c r="B53" s="414" t="s">
        <v>100</v>
      </c>
      <c r="C53" s="415">
        <v>1000</v>
      </c>
      <c r="E53" s="495">
        <v>0.96</v>
      </c>
    </row>
    <row r="54" spans="2:5">
      <c r="B54" s="414" t="s">
        <v>101</v>
      </c>
      <c r="C54" s="415">
        <v>1500</v>
      </c>
      <c r="E54" s="495">
        <v>0.96499999999999997</v>
      </c>
    </row>
    <row r="55" spans="2:5">
      <c r="B55" s="414" t="s">
        <v>102</v>
      </c>
      <c r="C55" s="415">
        <v>1500</v>
      </c>
      <c r="E55" s="495">
        <v>0.97</v>
      </c>
    </row>
    <row r="56" spans="2:5">
      <c r="B56" s="414" t="s">
        <v>103</v>
      </c>
      <c r="C56" s="415">
        <v>1500</v>
      </c>
      <c r="E56" s="495">
        <v>0.97499999999999998</v>
      </c>
    </row>
    <row r="57" spans="2:5">
      <c r="B57" s="414" t="s">
        <v>107</v>
      </c>
      <c r="C57" s="415">
        <v>1000</v>
      </c>
      <c r="E57" s="495">
        <v>0.98</v>
      </c>
    </row>
    <row r="58" spans="2:5">
      <c r="B58" s="414" t="s">
        <v>108</v>
      </c>
      <c r="C58" s="415">
        <v>1300</v>
      </c>
      <c r="E58" t="s">
        <v>764</v>
      </c>
    </row>
    <row r="59" spans="2:5">
      <c r="B59" s="414" t="s">
        <v>109</v>
      </c>
      <c r="C59" s="415">
        <v>300</v>
      </c>
    </row>
    <row r="60" spans="2:5">
      <c r="B60" s="414" t="s">
        <v>110</v>
      </c>
      <c r="C60" s="415">
        <v>450</v>
      </c>
    </row>
    <row r="61" spans="2:5">
      <c r="B61" s="414" t="s">
        <v>111</v>
      </c>
      <c r="C61" s="415">
        <v>600</v>
      </c>
    </row>
    <row r="62" spans="2:5">
      <c r="B62" s="414" t="s">
        <v>746</v>
      </c>
      <c r="C62" s="415">
        <v>2000</v>
      </c>
    </row>
    <row r="63" spans="2:5">
      <c r="B63" s="414" t="s">
        <v>112</v>
      </c>
      <c r="C63" s="415">
        <v>2300</v>
      </c>
    </row>
    <row r="64" spans="2:5">
      <c r="B64" s="414" t="s">
        <v>113</v>
      </c>
      <c r="C64" s="415">
        <v>2300</v>
      </c>
    </row>
    <row r="65" spans="2:3">
      <c r="B65" s="414" t="s">
        <v>115</v>
      </c>
      <c r="C65" s="415">
        <v>850</v>
      </c>
    </row>
    <row r="66" spans="2:3">
      <c r="B66" s="414" t="s">
        <v>116</v>
      </c>
      <c r="C66" s="415">
        <v>1650</v>
      </c>
    </row>
    <row r="67" spans="2:3">
      <c r="B67" s="414" t="s">
        <v>117</v>
      </c>
      <c r="C67" s="415">
        <v>1750</v>
      </c>
    </row>
    <row r="68" spans="2:3">
      <c r="B68" s="414" t="s">
        <v>118</v>
      </c>
      <c r="C68" s="415">
        <v>2000</v>
      </c>
    </row>
    <row r="69" spans="2:3">
      <c r="B69" s="414" t="s">
        <v>119</v>
      </c>
      <c r="C69" s="415">
        <v>2000</v>
      </c>
    </row>
    <row r="70" spans="2:3">
      <c r="B70" s="414" t="s">
        <v>120</v>
      </c>
      <c r="C70" s="418">
        <v>2000</v>
      </c>
    </row>
    <row r="71" spans="2:3">
      <c r="B71" s="414" t="s">
        <v>121</v>
      </c>
      <c r="C71" s="415">
        <v>2000</v>
      </c>
    </row>
    <row r="72" spans="2:3">
      <c r="B72" s="414" t="s">
        <v>123</v>
      </c>
      <c r="C72" s="415">
        <v>3200</v>
      </c>
    </row>
    <row r="73" spans="2:3">
      <c r="B73" s="414" t="s">
        <v>124</v>
      </c>
      <c r="C73" s="415">
        <v>3400</v>
      </c>
    </row>
    <row r="74" spans="2:3">
      <c r="B74" s="414" t="s">
        <v>125</v>
      </c>
      <c r="C74" s="415">
        <v>3400</v>
      </c>
    </row>
    <row r="75" spans="2:3">
      <c r="B75" s="414" t="s">
        <v>126</v>
      </c>
      <c r="C75" s="415">
        <v>3400</v>
      </c>
    </row>
    <row r="76" spans="2:3">
      <c r="B76" s="414" t="s">
        <v>127</v>
      </c>
      <c r="C76" s="415">
        <v>3600</v>
      </c>
    </row>
    <row r="77" spans="2:3">
      <c r="B77" s="414" t="s">
        <v>128</v>
      </c>
      <c r="C77" s="415">
        <v>3200</v>
      </c>
    </row>
    <row r="78" spans="2:3">
      <c r="B78" s="414" t="s">
        <v>129</v>
      </c>
      <c r="C78" s="415">
        <v>3600</v>
      </c>
    </row>
    <row r="79" spans="2:3">
      <c r="B79" s="414" t="s">
        <v>137</v>
      </c>
      <c r="C79" s="418">
        <v>1500</v>
      </c>
    </row>
    <row r="80" spans="2:3">
      <c r="B80" s="414" t="s">
        <v>138</v>
      </c>
      <c r="C80" s="418">
        <v>1500</v>
      </c>
    </row>
    <row r="81" spans="2:3">
      <c r="B81" s="414" t="s">
        <v>139</v>
      </c>
      <c r="C81" s="418">
        <v>2000</v>
      </c>
    </row>
    <row r="82" spans="2:3">
      <c r="B82" s="414" t="s">
        <v>140</v>
      </c>
      <c r="C82" s="418">
        <v>2050</v>
      </c>
    </row>
    <row r="83" spans="2:3">
      <c r="B83" s="414" t="s">
        <v>141</v>
      </c>
      <c r="C83" s="418">
        <v>2050</v>
      </c>
    </row>
    <row r="84" spans="2:3">
      <c r="B84" s="414" t="s">
        <v>131</v>
      </c>
      <c r="C84" s="415">
        <v>2500</v>
      </c>
    </row>
    <row r="85" spans="2:3">
      <c r="B85" s="414" t="s">
        <v>132</v>
      </c>
      <c r="C85" s="415">
        <v>2500</v>
      </c>
    </row>
    <row r="86" spans="2:3">
      <c r="B86" s="414" t="s">
        <v>133</v>
      </c>
      <c r="C86" s="415">
        <v>2500</v>
      </c>
    </row>
    <row r="87" spans="2:3">
      <c r="B87" s="414" t="s">
        <v>134</v>
      </c>
      <c r="C87" s="415">
        <v>2500</v>
      </c>
    </row>
    <row r="88" spans="2:3">
      <c r="B88" s="414" t="s">
        <v>135</v>
      </c>
      <c r="C88" s="415">
        <v>1500</v>
      </c>
    </row>
    <row r="89" spans="2:3">
      <c r="B89" s="414" t="s">
        <v>136</v>
      </c>
      <c r="C89" s="415">
        <v>1500</v>
      </c>
    </row>
    <row r="90" spans="2:3">
      <c r="B90" s="414" t="s">
        <v>143</v>
      </c>
      <c r="C90" s="418">
        <v>2500</v>
      </c>
    </row>
    <row r="91" spans="2:3">
      <c r="B91" s="414" t="s">
        <v>144</v>
      </c>
      <c r="C91" s="415">
        <v>2400</v>
      </c>
    </row>
    <row r="92" spans="2:3">
      <c r="B92" s="414" t="s">
        <v>145</v>
      </c>
      <c r="C92" s="415">
        <v>3000</v>
      </c>
    </row>
    <row r="93" spans="2:3">
      <c r="B93" s="414" t="s">
        <v>146</v>
      </c>
      <c r="C93" s="418">
        <v>1300</v>
      </c>
    </row>
    <row r="94" spans="2:3">
      <c r="B94" s="414" t="s">
        <v>147</v>
      </c>
      <c r="C94" s="418">
        <v>2300</v>
      </c>
    </row>
    <row r="95" spans="2:3">
      <c r="B95" s="414" t="s">
        <v>148</v>
      </c>
      <c r="C95" s="415">
        <v>2300</v>
      </c>
    </row>
    <row r="96" spans="2:3">
      <c r="B96" s="414" t="s">
        <v>149</v>
      </c>
      <c r="C96" s="415">
        <v>2500</v>
      </c>
    </row>
    <row r="97" spans="2:3">
      <c r="B97" s="414" t="s">
        <v>150</v>
      </c>
      <c r="C97" s="418">
        <v>1500</v>
      </c>
    </row>
    <row r="98" spans="2:3">
      <c r="B98" s="414" t="s">
        <v>151</v>
      </c>
      <c r="C98" s="418">
        <v>1500</v>
      </c>
    </row>
    <row r="99" spans="2:3">
      <c r="B99" s="414" t="s">
        <v>152</v>
      </c>
      <c r="C99" s="415">
        <v>3000</v>
      </c>
    </row>
    <row r="100" spans="2:3">
      <c r="B100" s="414" t="s">
        <v>153</v>
      </c>
      <c r="C100" s="415">
        <v>3300</v>
      </c>
    </row>
    <row r="101" spans="2:3">
      <c r="B101" s="414" t="s">
        <v>154</v>
      </c>
      <c r="C101" s="415">
        <v>3600</v>
      </c>
    </row>
    <row r="102" spans="2:3">
      <c r="B102" s="414" t="s">
        <v>655</v>
      </c>
      <c r="C102" s="415">
        <v>800</v>
      </c>
    </row>
    <row r="103" spans="2:3">
      <c r="B103" s="414" t="s">
        <v>656</v>
      </c>
      <c r="C103" s="415">
        <v>800</v>
      </c>
    </row>
    <row r="104" spans="2:3">
      <c r="B104" s="414" t="s">
        <v>657</v>
      </c>
      <c r="C104" s="415">
        <v>1000</v>
      </c>
    </row>
    <row r="105" spans="2:3">
      <c r="B105" s="414" t="s">
        <v>658</v>
      </c>
      <c r="C105" s="415">
        <v>1800</v>
      </c>
    </row>
    <row r="106" spans="2:3">
      <c r="B106" s="414" t="s">
        <v>659</v>
      </c>
      <c r="C106" s="415">
        <v>1800</v>
      </c>
    </row>
    <row r="107" spans="2:3">
      <c r="B107" s="414" t="s">
        <v>660</v>
      </c>
      <c r="C107" s="418">
        <v>2000</v>
      </c>
    </row>
    <row r="108" spans="2:3">
      <c r="B108" s="414" t="s">
        <v>661</v>
      </c>
      <c r="C108" s="415">
        <v>2300</v>
      </c>
    </row>
    <row r="109" spans="2:3">
      <c r="B109" s="414" t="s">
        <v>662</v>
      </c>
      <c r="C109" s="418">
        <v>2000</v>
      </c>
    </row>
    <row r="110" spans="2:3">
      <c r="B110" s="414" t="s">
        <v>663</v>
      </c>
      <c r="C110" s="415">
        <v>2000</v>
      </c>
    </row>
    <row r="111" spans="2:3">
      <c r="B111" s="414" t="s">
        <v>664</v>
      </c>
      <c r="C111" s="415">
        <v>2300</v>
      </c>
    </row>
    <row r="112" spans="2:3">
      <c r="B112" s="414" t="s">
        <v>665</v>
      </c>
      <c r="C112" s="415">
        <v>3000</v>
      </c>
    </row>
    <row r="113" spans="2:3">
      <c r="B113" s="414" t="s">
        <v>666</v>
      </c>
      <c r="C113" s="415">
        <v>2350</v>
      </c>
    </row>
    <row r="114" spans="2:3">
      <c r="B114" s="414" t="s">
        <v>667</v>
      </c>
      <c r="C114" s="415">
        <v>3000</v>
      </c>
    </row>
    <row r="115" spans="2:3">
      <c r="B115" s="414" t="s">
        <v>668</v>
      </c>
      <c r="C115" s="415">
        <v>2300</v>
      </c>
    </row>
    <row r="116" spans="2:3">
      <c r="B116" s="414" t="s">
        <v>669</v>
      </c>
      <c r="C116" s="415">
        <v>3050</v>
      </c>
    </row>
    <row r="117" spans="2:3">
      <c r="B117" s="414" t="s">
        <v>670</v>
      </c>
      <c r="C117" s="415">
        <v>3050</v>
      </c>
    </row>
    <row r="118" spans="2:3">
      <c r="B118" s="414" t="s">
        <v>671</v>
      </c>
      <c r="C118" s="415">
        <v>3500</v>
      </c>
    </row>
    <row r="119" spans="2:3">
      <c r="B119" s="414" t="s">
        <v>672</v>
      </c>
      <c r="C119" s="415">
        <v>2500</v>
      </c>
    </row>
    <row r="120" spans="2:3">
      <c r="B120" s="414" t="s">
        <v>673</v>
      </c>
      <c r="C120" s="415">
        <v>3000</v>
      </c>
    </row>
    <row r="121" spans="2:3">
      <c r="B121" s="419" t="s">
        <v>726</v>
      </c>
      <c r="C121" s="415">
        <v>850</v>
      </c>
    </row>
    <row r="122" spans="2:3">
      <c r="B122" s="419" t="s">
        <v>727</v>
      </c>
      <c r="C122" s="415">
        <v>850</v>
      </c>
    </row>
    <row r="123" spans="2:3">
      <c r="B123" s="419" t="s">
        <v>728</v>
      </c>
      <c r="C123" s="415">
        <v>1650</v>
      </c>
    </row>
    <row r="124" spans="2:3">
      <c r="B124" s="419" t="s">
        <v>729</v>
      </c>
      <c r="C124" s="415">
        <v>2000</v>
      </c>
    </row>
    <row r="125" spans="2:3">
      <c r="B125" s="419" t="s">
        <v>730</v>
      </c>
      <c r="C125" s="415">
        <v>2000</v>
      </c>
    </row>
    <row r="126" spans="2:3">
      <c r="B126" s="419" t="s">
        <v>731</v>
      </c>
      <c r="C126" s="415">
        <v>2000</v>
      </c>
    </row>
    <row r="127" spans="2:3">
      <c r="B127" s="419" t="s">
        <v>732</v>
      </c>
      <c r="C127" s="415">
        <v>2000</v>
      </c>
    </row>
    <row r="128" spans="2:3">
      <c r="B128" s="416" t="s">
        <v>733</v>
      </c>
      <c r="C128" s="417">
        <v>2000</v>
      </c>
    </row>
    <row r="129" spans="2:3">
      <c r="B129" s="566" t="s">
        <v>800</v>
      </c>
      <c r="C129" s="567">
        <v>3600</v>
      </c>
    </row>
  </sheetData>
  <sheetProtection algorithmName="SHA-512" hashValue="hQKqrNjOSDENDsVSDVKF+hE2ViyA9YGzXycY1l9zPtqM+SFcyT5LloFoTIt5o5BksZRSoyGMg7y/uYetrOQnNQ==" saltValue="jAXJC8iSxY/bxjJ8R5sVuQ==" spinCount="100000" sheet="1" objects="1" scenarios="1"/>
  <hyperlinks>
    <hyperlink ref="C13" r:id="rId1" xr:uid="{00000000-0004-0000-0E00-000000000000}"/>
  </hyperlinks>
  <pageMargins left="0.7" right="0.7" top="0.78740157499999996" bottom="0.78740157499999996" header="0.3" footer="0.3"/>
  <pageSetup paperSize="9" orientation="portrait" horizontalDpi="4294967293"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outlinePr showOutlineSymbols="0"/>
  </sheetPr>
  <dimension ref="A1:DH238"/>
  <sheetViews>
    <sheetView showOutlineSymbols="0" zoomScale="68" zoomScaleNormal="90" workbookViewId="0">
      <selection activeCell="N45" sqref="N43:N45"/>
    </sheetView>
  </sheetViews>
  <sheetFormatPr baseColWidth="10" defaultRowHeight="15" outlineLevelRow="1"/>
  <cols>
    <col min="1" max="1" width="24.7109375" customWidth="1"/>
    <col min="2" max="2" width="5" customWidth="1"/>
    <col min="3" max="3" width="42.5703125" customWidth="1"/>
    <col min="4" max="4" width="23.140625" customWidth="1"/>
    <col min="5" max="5" width="20.5703125" customWidth="1"/>
    <col min="6" max="6" width="34" customWidth="1"/>
    <col min="7" max="7" width="20.7109375" customWidth="1"/>
    <col min="8" max="8" width="20.5703125" customWidth="1"/>
    <col min="9" max="9" width="24.42578125" customWidth="1"/>
    <col min="10" max="10" width="20.7109375" customWidth="1"/>
    <col min="11" max="11" width="23.5703125" customWidth="1"/>
    <col min="12" max="12" width="12.28515625" customWidth="1"/>
    <col min="13" max="13" width="27.5703125" customWidth="1"/>
    <col min="14" max="14" width="24.140625" customWidth="1"/>
  </cols>
  <sheetData>
    <row r="1" spans="1:112" ht="15.75" thickBo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row>
    <row r="2" spans="1:112" ht="21.75" thickBot="1">
      <c r="A2" s="3"/>
      <c r="B2" s="3"/>
      <c r="C2" s="660" t="s">
        <v>597</v>
      </c>
      <c r="D2" s="661"/>
      <c r="E2" s="661"/>
      <c r="F2" s="661"/>
      <c r="G2" s="661"/>
      <c r="H2" s="661"/>
      <c r="I2" s="661"/>
      <c r="J2" s="662"/>
      <c r="K2" s="3"/>
      <c r="L2" s="1"/>
      <c r="M2" s="1"/>
      <c r="N2" s="4"/>
      <c r="O2" s="4"/>
      <c r="P2" s="4"/>
      <c r="Q2" s="4"/>
      <c r="R2" s="4"/>
      <c r="S2" s="3"/>
      <c r="T2" s="3"/>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row>
    <row r="3" spans="1:112" ht="15.75" customHeight="1" thickBot="1">
      <c r="A3" s="107"/>
      <c r="B3" s="118"/>
      <c r="C3" s="697" t="s">
        <v>485</v>
      </c>
      <c r="D3" s="698"/>
      <c r="E3" s="288" t="s">
        <v>92</v>
      </c>
      <c r="F3" s="6" t="s">
        <v>93</v>
      </c>
      <c r="G3" s="6" t="s">
        <v>194</v>
      </c>
      <c r="H3" s="6" t="s">
        <v>94</v>
      </c>
      <c r="I3" s="6" t="s">
        <v>95</v>
      </c>
      <c r="J3" s="104" t="s">
        <v>96</v>
      </c>
      <c r="K3" s="353" t="s">
        <v>714</v>
      </c>
      <c r="L3" s="1"/>
      <c r="M3" s="646" t="s">
        <v>593</v>
      </c>
      <c r="N3" s="646"/>
      <c r="O3" s="3"/>
      <c r="P3" s="3"/>
      <c r="Q3" s="3"/>
      <c r="R3" s="3"/>
      <c r="S3" s="3"/>
      <c r="T3" s="3"/>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row>
    <row r="4" spans="1:112" ht="15.75" customHeight="1" thickBot="1">
      <c r="A4" s="120"/>
      <c r="B4" s="680" t="s">
        <v>493</v>
      </c>
      <c r="C4" s="689" t="s">
        <v>492</v>
      </c>
      <c r="D4" s="690"/>
      <c r="E4" s="294">
        <f>IF(OR(Input!D17="Basic",Input!D17="VWoGK",Input!D17="Basic +"),0,'Cost Calculation'!Q52)</f>
        <v>0</v>
      </c>
      <c r="F4" s="126">
        <f>IF(OR(Input!D17="Basic",Input!D17="VWoGK",Input!D17="Basic +"),0,'Cost Calculation'!Q53)</f>
        <v>0</v>
      </c>
      <c r="G4" s="126">
        <f>IF(OR(Input!D17="Basic",Input!D17="VWoGK",Input!D17="Basic +"),0,'Cost Calculation'!Q57)</f>
        <v>0</v>
      </c>
      <c r="H4" s="126">
        <f>IF(OR(Input!D17="Basic",Input!D17="VWoGK",Input!D17="Basic +"),0,'Cost Calculation'!Q54)</f>
        <v>0</v>
      </c>
      <c r="I4" s="126">
        <f>IF(OR(Input!D17="Basic",Input!D17="VWoGK"),0,'Cost Calculation'!Q55)</f>
        <v>0</v>
      </c>
      <c r="J4" s="358">
        <f>IF(OR(Input!D17="Basic",Input!D17="VWoGK"),0,'Cost Calculation'!Q56)</f>
        <v>0</v>
      </c>
      <c r="K4" s="360">
        <f>IF(OR(Input!D17="Basic",Input!D17="VWoGK",Input!D17="Basic +",Input!D17="VWmGK"),0,'Cost Calculation'!Q58)</f>
        <v>0</v>
      </c>
      <c r="L4" s="1"/>
      <c r="M4" s="647"/>
      <c r="N4" s="647"/>
      <c r="O4" s="3"/>
      <c r="P4" s="3"/>
      <c r="Q4" s="3"/>
      <c r="R4" s="3"/>
      <c r="S4" s="3"/>
      <c r="T4" s="3"/>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row>
    <row r="5" spans="1:112">
      <c r="A5" s="123"/>
      <c r="B5" s="695"/>
      <c r="C5" s="703" t="s">
        <v>594</v>
      </c>
      <c r="D5" s="704"/>
      <c r="E5" s="294">
        <f>E4*Input!D11*'Cost Calculation'!C75</f>
        <v>0</v>
      </c>
      <c r="F5" s="126">
        <f>F4*Input!D11*'Cost Calculation'!C75</f>
        <v>0</v>
      </c>
      <c r="G5" s="126">
        <f>G4*Input!D11*'Cost Calculation'!C75</f>
        <v>0</v>
      </c>
      <c r="H5" s="126">
        <f>H4*Input!D11*'Cost Calculation'!C75</f>
        <v>0</v>
      </c>
      <c r="I5" s="126">
        <f>I4*Input!D11*'Cost Calculation'!C75</f>
        <v>0</v>
      </c>
      <c r="J5" s="358">
        <f>J4*Input!D11*'Cost Calculation'!C75</f>
        <v>0</v>
      </c>
      <c r="K5" s="360">
        <f>K4*Input!D19*Input!D11</f>
        <v>0</v>
      </c>
      <c r="L5" s="1"/>
      <c r="M5" s="228" t="s">
        <v>592</v>
      </c>
      <c r="N5" s="229" t="s">
        <v>712</v>
      </c>
      <c r="O5" s="3"/>
      <c r="P5" s="3"/>
      <c r="Q5" s="3"/>
      <c r="R5" s="3"/>
      <c r="S5" s="3"/>
      <c r="T5" s="3"/>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row>
    <row r="6" spans="1:112" ht="15.75" thickBot="1">
      <c r="A6" s="121"/>
      <c r="B6" s="696"/>
      <c r="C6" s="705" t="s">
        <v>595</v>
      </c>
      <c r="D6" s="706"/>
      <c r="E6" s="166">
        <f>IF(OR(Input!D17="Basic",Vertragsart="Basic +",Vertragsart="VWoGK",Input!D12="Enercon"),0,'Cost Calculation'!R7)</f>
        <v>0</v>
      </c>
      <c r="F6" s="166">
        <f>IF(OR(Input!D17="Basic",Vertragsart="Basic +",Vertragsart="VWoGK"),0,'Cost Calculation'!R8)</f>
        <v>0</v>
      </c>
      <c r="G6" s="166">
        <f>IF(OR(Input!D17="Basic",Vertragsart="Basic +",Vertragsart="VWoGK"),0,'Cost Calculation'!R12)</f>
        <v>0</v>
      </c>
      <c r="H6" s="166">
        <f>IF(OR(Input!D17="Basic",Vertragsart="Basic +",Vertragsart="VWoGK"),0,'Cost Calculation'!R9)</f>
        <v>0</v>
      </c>
      <c r="I6" s="166">
        <f>IF(OR(Input!D17="Basic",Vertragsart="Basic +",Vertragsart="VWoGK"),0,'Cost Calculation'!R10)</f>
        <v>0</v>
      </c>
      <c r="J6" s="166">
        <f>IF(OR(Input!D17="Basic",Vertragsart="Basic +",Vertragsart="VWoGK"),0,'Cost Calculation'!R11)</f>
        <v>0</v>
      </c>
      <c r="K6" s="167">
        <f>IF(OR(Vertragsart="Basic",Vertragsart="Basic +",Vertragsart="VWoGK",Vertragsart="VWmGK"),0,Input!D19/10)</f>
        <v>0</v>
      </c>
      <c r="L6" s="1"/>
      <c r="M6" s="652" t="s">
        <v>486</v>
      </c>
      <c r="N6" s="648">
        <f ca="1">'Cost Calculation'!C50</f>
        <v>1173.5333333333333</v>
      </c>
      <c r="O6" s="3"/>
      <c r="P6" s="3"/>
      <c r="Q6" s="3"/>
      <c r="R6" s="3"/>
      <c r="S6" s="3"/>
      <c r="T6" s="3"/>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row>
    <row r="7" spans="1:112" ht="15.75" thickBot="1">
      <c r="A7" s="109"/>
      <c r="B7" s="119"/>
      <c r="C7" s="67"/>
      <c r="D7" s="67"/>
      <c r="E7" s="112"/>
      <c r="F7" s="124"/>
      <c r="G7" s="124"/>
      <c r="H7" s="124"/>
      <c r="I7" s="124"/>
      <c r="J7" s="124"/>
      <c r="K7" s="119"/>
      <c r="L7" s="1"/>
      <c r="M7" s="652"/>
      <c r="N7" s="649"/>
      <c r="O7" s="3"/>
      <c r="P7" s="3"/>
      <c r="Q7" s="3"/>
      <c r="R7" s="3"/>
      <c r="S7" s="3"/>
      <c r="T7" s="3"/>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row>
    <row r="8" spans="1:112">
      <c r="A8" s="120"/>
      <c r="B8" s="679" t="s">
        <v>494</v>
      </c>
      <c r="C8" s="707" t="s">
        <v>492</v>
      </c>
      <c r="D8" s="708"/>
      <c r="E8" s="127">
        <f>IF(OR(Input!D17="Basic",Input!D17="VWoGK",Input!D17="Basic +"),0,'Cost Calculation'!W52)</f>
        <v>0</v>
      </c>
      <c r="F8" s="127">
        <f>IF(OR(Input!D17="Basic",Input!D17="VWoGK",Input!D17="Basic +"),0,'Cost Calculation'!W53)</f>
        <v>0</v>
      </c>
      <c r="G8" s="127">
        <f>IF(OR(Input!D17="Basic",Input!D17="VWoGK",Input!D17="Basic +"),0,'Cost Calculation'!W57)</f>
        <v>0</v>
      </c>
      <c r="H8" s="127">
        <f>IF(OR(Input!D17="Basic",Input!D17="VWoGK",Input!D17="Basic +"),0,'Cost Calculation'!W54)</f>
        <v>0</v>
      </c>
      <c r="I8" s="127">
        <f>IF(OR(Input!D17="Basic",Input!D17="VWoGK"),0,'Cost Calculation'!W55)</f>
        <v>0</v>
      </c>
      <c r="J8" s="127">
        <f>IF(OR(Input!D17="Basic",Input!D17="VWoGK"),0,'Cost Calculation'!W56)</f>
        <v>0</v>
      </c>
      <c r="K8" s="128">
        <f>IF(OR(Input!D17="Basic",Input!D17="VWoGK",Input!D17="Basic +",Input!D17="VWmGK"),0,'Cost Calculation'!W58)</f>
        <v>0</v>
      </c>
      <c r="L8" s="1"/>
      <c r="M8" s="652" t="s">
        <v>487</v>
      </c>
      <c r="N8" s="650">
        <f>IF(OR(Input!D17="Basic",),0,'Cost Calculation'!I36)</f>
        <v>0</v>
      </c>
      <c r="O8" s="8"/>
      <c r="P8" s="8"/>
      <c r="Q8" s="8"/>
      <c r="R8" s="8"/>
      <c r="S8" s="8"/>
      <c r="T8" s="8"/>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row>
    <row r="9" spans="1:112">
      <c r="A9" s="122"/>
      <c r="B9" s="695"/>
      <c r="C9" s="703" t="s">
        <v>594</v>
      </c>
      <c r="D9" s="709"/>
      <c r="E9" s="129">
        <f>E8*Input!D11*'Cost Calculation'!C75</f>
        <v>0</v>
      </c>
      <c r="F9" s="129">
        <f>F8*Input!D11*'Cost Calculation'!C75</f>
        <v>0</v>
      </c>
      <c r="G9" s="129">
        <f>G8*Input!D11*'Cost Calculation'!C75</f>
        <v>0</v>
      </c>
      <c r="H9" s="129">
        <f>H8*Input!D11*'Cost Calculation'!C75</f>
        <v>0</v>
      </c>
      <c r="I9" s="129">
        <f>I8*Input!D11*'Cost Calculation'!C75</f>
        <v>0</v>
      </c>
      <c r="J9" s="129">
        <f>J8*Input!D11*'Cost Calculation'!C75</f>
        <v>0</v>
      </c>
      <c r="K9" s="130">
        <f>K8*Input!D11*'Cost Calculation'!C75</f>
        <v>0</v>
      </c>
      <c r="L9" s="1"/>
      <c r="M9" s="652"/>
      <c r="N9" s="651"/>
      <c r="O9" s="3"/>
      <c r="P9" s="3"/>
      <c r="Q9" s="3"/>
      <c r="R9" s="3"/>
      <c r="S9" s="3"/>
      <c r="T9" s="3"/>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row>
    <row r="10" spans="1:112" ht="15.75" thickBot="1">
      <c r="A10" s="121"/>
      <c r="B10" s="696"/>
      <c r="C10" s="705" t="s">
        <v>595</v>
      </c>
      <c r="D10" s="710"/>
      <c r="E10" s="295">
        <f t="shared" ref="E10:K10" si="0">E6+E11</f>
        <v>0</v>
      </c>
      <c r="F10" s="165">
        <f t="shared" si="0"/>
        <v>0</v>
      </c>
      <c r="G10" s="165">
        <f t="shared" si="0"/>
        <v>0</v>
      </c>
      <c r="H10" s="165">
        <f t="shared" si="0"/>
        <v>0</v>
      </c>
      <c r="I10" s="165">
        <f t="shared" si="0"/>
        <v>0</v>
      </c>
      <c r="J10" s="363">
        <f t="shared" si="0"/>
        <v>0</v>
      </c>
      <c r="K10" s="364">
        <f t="shared" si="0"/>
        <v>0</v>
      </c>
      <c r="L10" s="1"/>
      <c r="M10" s="652" t="s">
        <v>566</v>
      </c>
      <c r="N10" s="650">
        <f>'Cost Calculation'!AH31</f>
        <v>1100</v>
      </c>
      <c r="O10" s="3"/>
      <c r="P10" s="3"/>
      <c r="Q10" s="3"/>
      <c r="R10" s="3"/>
      <c r="S10" s="3"/>
      <c r="T10" s="3"/>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row>
    <row r="11" spans="1:112" ht="15.75" thickBot="1">
      <c r="A11" s="108"/>
      <c r="B11" s="108"/>
      <c r="C11" s="711" t="s">
        <v>596</v>
      </c>
      <c r="D11" s="712"/>
      <c r="E11" s="551">
        <v>0</v>
      </c>
      <c r="F11" s="552">
        <v>0</v>
      </c>
      <c r="G11" s="552">
        <v>0</v>
      </c>
      <c r="H11" s="552">
        <v>0</v>
      </c>
      <c r="I11" s="552">
        <v>0</v>
      </c>
      <c r="J11" s="553">
        <v>0</v>
      </c>
      <c r="K11" s="554">
        <v>0</v>
      </c>
      <c r="L11" s="1"/>
      <c r="M11" s="652"/>
      <c r="N11" s="651"/>
      <c r="O11" s="3"/>
      <c r="P11" s="3"/>
      <c r="Q11" s="3"/>
      <c r="R11" s="3"/>
      <c r="S11" s="3"/>
      <c r="T11" s="3"/>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row>
    <row r="12" spans="1:112" ht="15.75" thickBot="1">
      <c r="A12" s="108"/>
      <c r="B12" s="108"/>
      <c r="C12" s="76"/>
      <c r="D12" s="76"/>
      <c r="E12" s="76">
        <v>0</v>
      </c>
      <c r="F12" s="76"/>
      <c r="G12" s="76"/>
      <c r="H12" s="76"/>
      <c r="I12" s="76"/>
      <c r="J12" s="76">
        <v>-1</v>
      </c>
      <c r="K12" s="108"/>
      <c r="L12" s="1"/>
      <c r="M12" s="652" t="s">
        <v>488</v>
      </c>
      <c r="N12" s="650">
        <f>IFERROR('Cost Calculation'!AG7,0)</f>
        <v>0</v>
      </c>
      <c r="O12" s="3"/>
      <c r="P12" s="3"/>
      <c r="Q12" s="3"/>
      <c r="R12" s="3"/>
      <c r="S12" s="3"/>
      <c r="T12" s="3"/>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row>
    <row r="13" spans="1:112" ht="21.75" thickBot="1">
      <c r="A13" s="108"/>
      <c r="B13" s="108"/>
      <c r="C13" s="660" t="s">
        <v>572</v>
      </c>
      <c r="D13" s="661"/>
      <c r="E13" s="661"/>
      <c r="F13" s="661"/>
      <c r="G13" s="661"/>
      <c r="H13" s="661"/>
      <c r="I13" s="661"/>
      <c r="J13" s="662"/>
      <c r="K13" s="108"/>
      <c r="L13" s="1"/>
      <c r="M13" s="652"/>
      <c r="N13" s="651"/>
      <c r="O13" s="3"/>
      <c r="P13" s="3"/>
      <c r="Q13" s="3"/>
      <c r="R13" s="3"/>
      <c r="S13" s="3"/>
      <c r="T13" s="3"/>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row>
    <row r="14" spans="1:112">
      <c r="A14" s="108"/>
      <c r="B14" s="108"/>
      <c r="C14" s="697" t="s">
        <v>560</v>
      </c>
      <c r="D14" s="698"/>
      <c r="E14" s="6" t="s">
        <v>92</v>
      </c>
      <c r="F14" s="6" t="s">
        <v>93</v>
      </c>
      <c r="G14" s="6" t="s">
        <v>194</v>
      </c>
      <c r="H14" s="6" t="s">
        <v>94</v>
      </c>
      <c r="I14" s="6" t="s">
        <v>95</v>
      </c>
      <c r="J14" s="104" t="s">
        <v>96</v>
      </c>
      <c r="K14" s="353" t="s">
        <v>714</v>
      </c>
      <c r="L14" s="1"/>
      <c r="M14" s="652" t="s">
        <v>92</v>
      </c>
      <c r="N14" s="650">
        <f>IF(OR(Input!D17="Basic",Input!D17="VWoGK",Input!D17="Basic +"),0,'Cost Calculation'!P7+'Cost Calculation'!S7+'Cost Calculation'!T7)</f>
        <v>0</v>
      </c>
      <c r="O14" s="3"/>
      <c r="P14" s="3"/>
      <c r="Q14" s="3"/>
      <c r="R14" s="3"/>
      <c r="S14" s="3"/>
      <c r="T14" s="3"/>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row>
    <row r="15" spans="1:112">
      <c r="A15" s="657"/>
      <c r="B15" s="110"/>
      <c r="C15" s="689" t="s">
        <v>493</v>
      </c>
      <c r="D15" s="690"/>
      <c r="E15" s="126">
        <f t="shared" ref="E15:J15" si="1">E5</f>
        <v>0</v>
      </c>
      <c r="F15" s="126">
        <f>F5</f>
        <v>0</v>
      </c>
      <c r="G15" s="126">
        <f t="shared" si="1"/>
        <v>0</v>
      </c>
      <c r="H15" s="126">
        <f t="shared" si="1"/>
        <v>0</v>
      </c>
      <c r="I15" s="126">
        <f t="shared" si="1"/>
        <v>0</v>
      </c>
      <c r="J15" s="358">
        <f t="shared" si="1"/>
        <v>0</v>
      </c>
      <c r="K15" s="360">
        <f>K5</f>
        <v>0</v>
      </c>
      <c r="L15" s="1"/>
      <c r="M15" s="652"/>
      <c r="N15" s="651"/>
      <c r="O15" s="3"/>
      <c r="P15" s="3"/>
      <c r="Q15" s="3"/>
      <c r="R15" s="3"/>
      <c r="S15" s="3"/>
      <c r="T15" s="3"/>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row>
    <row r="16" spans="1:112" ht="15.75" thickBot="1">
      <c r="A16" s="657"/>
      <c r="B16" s="110"/>
      <c r="C16" s="699" t="s">
        <v>494</v>
      </c>
      <c r="D16" s="700"/>
      <c r="E16" s="131">
        <f t="shared" ref="E16:J16" si="2">E9</f>
        <v>0</v>
      </c>
      <c r="F16" s="131">
        <f t="shared" si="2"/>
        <v>0</v>
      </c>
      <c r="G16" s="131">
        <f t="shared" si="2"/>
        <v>0</v>
      </c>
      <c r="H16" s="131">
        <f t="shared" si="2"/>
        <v>0</v>
      </c>
      <c r="I16" s="131">
        <f t="shared" si="2"/>
        <v>0</v>
      </c>
      <c r="J16" s="359">
        <f t="shared" si="2"/>
        <v>0</v>
      </c>
      <c r="K16" s="361">
        <f>K9</f>
        <v>0</v>
      </c>
      <c r="L16" s="1"/>
      <c r="M16" s="652" t="s">
        <v>93</v>
      </c>
      <c r="N16" s="655">
        <f>IF(OR(Input!D17="Basic",Input!D17="VWoGK",Input!D17="Basic +"),0,'Cost Calculation'!P8+'Cost Calculation'!S8+'Cost Calculation'!T8)</f>
        <v>0</v>
      </c>
      <c r="O16" s="3"/>
      <c r="P16" s="3"/>
      <c r="Q16" s="3"/>
      <c r="R16" s="3"/>
      <c r="S16" s="3"/>
      <c r="T16" s="3"/>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row>
    <row r="17" spans="1:112" ht="15.75" thickBot="1">
      <c r="A17" s="76"/>
      <c r="B17" s="76"/>
      <c r="C17" s="701" t="s">
        <v>565</v>
      </c>
      <c r="D17" s="702"/>
      <c r="E17" s="134">
        <f t="shared" ref="E17:J17" si="3">E16-E15</f>
        <v>0</v>
      </c>
      <c r="F17" s="134">
        <f t="shared" si="3"/>
        <v>0</v>
      </c>
      <c r="G17" s="134">
        <f t="shared" si="3"/>
        <v>0</v>
      </c>
      <c r="H17" s="134">
        <f t="shared" si="3"/>
        <v>0</v>
      </c>
      <c r="I17" s="134">
        <f t="shared" si="3"/>
        <v>0</v>
      </c>
      <c r="J17" s="134">
        <f t="shared" si="3"/>
        <v>0</v>
      </c>
      <c r="K17" s="362">
        <f>K16-K15</f>
        <v>0</v>
      </c>
      <c r="L17" s="1"/>
      <c r="M17" s="652"/>
      <c r="N17" s="656"/>
      <c r="O17" s="1"/>
      <c r="P17" s="1"/>
      <c r="Q17" s="1"/>
      <c r="R17" s="272"/>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row>
    <row r="18" spans="1:112" ht="15.75" thickBot="1">
      <c r="A18" s="76"/>
      <c r="B18" s="76"/>
      <c r="C18" s="76"/>
      <c r="D18" s="76"/>
      <c r="E18" s="76"/>
      <c r="F18" s="76"/>
      <c r="G18" s="76"/>
      <c r="H18" s="76"/>
      <c r="I18" s="76"/>
      <c r="J18" s="76"/>
      <c r="K18" s="76"/>
      <c r="L18" s="1"/>
      <c r="M18" s="652" t="s">
        <v>194</v>
      </c>
      <c r="N18" s="655">
        <f>IF(OR(Input!D17="Basic",Input!D17="VWoGK",Input!D17="Basic +"),0,'Cost Calculation'!P12+'Cost Calculation'!S12+'Cost Calculation'!T12)</f>
        <v>0</v>
      </c>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row>
    <row r="19" spans="1:112" ht="21.75" thickBot="1">
      <c r="A19" s="76"/>
      <c r="B19" s="76"/>
      <c r="C19" s="660" t="s">
        <v>561</v>
      </c>
      <c r="D19" s="661"/>
      <c r="E19" s="661"/>
      <c r="F19" s="661"/>
      <c r="G19" s="661"/>
      <c r="H19" s="661"/>
      <c r="I19" s="661"/>
      <c r="J19" s="662"/>
      <c r="K19" s="76"/>
      <c r="L19" s="1"/>
      <c r="M19" s="652"/>
      <c r="N19" s="656"/>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row>
    <row r="20" spans="1:112">
      <c r="A20" s="76"/>
      <c r="B20" s="76"/>
      <c r="C20" s="697" t="s">
        <v>485</v>
      </c>
      <c r="D20" s="698"/>
      <c r="E20" s="222" t="s">
        <v>486</v>
      </c>
      <c r="F20" s="222" t="s">
        <v>487</v>
      </c>
      <c r="G20" s="222" t="s">
        <v>564</v>
      </c>
      <c r="H20" s="222" t="s">
        <v>548</v>
      </c>
      <c r="I20" s="238" t="s">
        <v>562</v>
      </c>
      <c r="J20" s="350" t="s">
        <v>563</v>
      </c>
      <c r="K20" s="76"/>
      <c r="L20" s="1"/>
      <c r="M20" s="653" t="s">
        <v>94</v>
      </c>
      <c r="N20" s="655">
        <f>IF(OR(Input!D17="Basic",Input!D17="VWoGK",Input!D17="Basic +"),0,'Cost Calculation'!P9+'Cost Calculation'!S9+'Cost Calculation'!T9)</f>
        <v>0</v>
      </c>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row>
    <row r="21" spans="1:112">
      <c r="A21" s="76"/>
      <c r="B21" s="691"/>
      <c r="C21" s="689" t="s">
        <v>495</v>
      </c>
      <c r="D21" s="690"/>
      <c r="E21" s="132">
        <f ca="1">'Cost Calculation'!C50</f>
        <v>1173.5333333333333</v>
      </c>
      <c r="F21" s="132">
        <f>IF(Input!D17="Basic",0,'Cost Calculation'!I36)</f>
        <v>0</v>
      </c>
      <c r="G21" s="133">
        <f>IF(OR(Input!D17="Basic",Input!D17="VWoGK"),0,SUM('Cost Calculation'!W59))</f>
        <v>0</v>
      </c>
      <c r="H21" s="64">
        <f>IF(OR(Input!D17="Basic",Input!D17="Basic +",Input!D17="VWoGK"),0,'Cost Calculation'!AG7)</f>
        <v>0</v>
      </c>
      <c r="I21" s="129">
        <f>IF(OR(Input!D17="Basic",Input!D17="VWoGK",Input!D17="Basic +"),0,'Cost Calculation'!W60)</f>
        <v>0</v>
      </c>
      <c r="J21" s="351">
        <f>'Cost Calculation'!AH31</f>
        <v>1100</v>
      </c>
      <c r="K21" s="76"/>
      <c r="L21" s="1"/>
      <c r="M21" s="654"/>
      <c r="N21" s="656"/>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row>
    <row r="22" spans="1:112" ht="15.75" thickBot="1">
      <c r="A22" s="76"/>
      <c r="B22" s="691"/>
      <c r="C22" s="692" t="s">
        <v>594</v>
      </c>
      <c r="D22" s="693"/>
      <c r="E22" s="65">
        <f ca="1">E21*Input!D11*'Cost Calculation'!C75</f>
        <v>140824</v>
      </c>
      <c r="F22" s="65">
        <f>F21*Input!D11*'Cost Calculation'!C75</f>
        <v>0</v>
      </c>
      <c r="G22" s="65">
        <f>((G21*Input!D19)*Input!D11)</f>
        <v>0</v>
      </c>
      <c r="H22" s="65">
        <f>H21*'Cost Calculation'!C75*Input!D11</f>
        <v>0</v>
      </c>
      <c r="I22" s="134">
        <f>I21*Input!D11*Input!D11</f>
        <v>0</v>
      </c>
      <c r="J22" s="352">
        <f>J21*Input!D19*Input!D11</f>
        <v>132000</v>
      </c>
      <c r="K22" s="76"/>
      <c r="L22" s="1"/>
      <c r="M22" s="652" t="s">
        <v>95</v>
      </c>
      <c r="N22" s="655">
        <f>IF(OR(Input!D17="Basic",Input!D17="VWoGK",Input!D17="Basic +"),0,'Cost Calculation'!P10+'Cost Calculation'!S10+'Cost Calculation'!T10)</f>
        <v>0</v>
      </c>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row>
    <row r="23" spans="1:112">
      <c r="A23" s="76"/>
      <c r="B23" s="76"/>
      <c r="C23" s="108"/>
      <c r="D23" s="108"/>
      <c r="E23" s="108"/>
      <c r="F23" s="108"/>
      <c r="G23" s="440"/>
      <c r="H23" s="108"/>
      <c r="I23" s="440"/>
      <c r="J23" s="108"/>
      <c r="K23" s="76"/>
      <c r="L23" s="1"/>
      <c r="M23" s="652"/>
      <c r="N23" s="656"/>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row>
    <row r="24" spans="1:112" ht="21.75" thickBot="1">
      <c r="A24" s="76"/>
      <c r="B24" s="76"/>
      <c r="C24" s="665" t="s">
        <v>600</v>
      </c>
      <c r="D24" s="666"/>
      <c r="E24" s="666"/>
      <c r="F24" s="666"/>
      <c r="G24" s="666"/>
      <c r="H24" s="666"/>
      <c r="I24" s="666"/>
      <c r="J24" s="666"/>
      <c r="K24" s="76"/>
      <c r="L24" s="1"/>
      <c r="M24" s="652" t="s">
        <v>96</v>
      </c>
      <c r="N24" s="655">
        <f>IF(OR(Input!D17="Basic",Input!D17="VWoGK",Input!D17="Basic +"),0,'Cost Calculation'!P11+'Cost Calculation'!S11+'Cost Calculation'!T11)</f>
        <v>0</v>
      </c>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row>
    <row r="25" spans="1:112" ht="19.5" thickBot="1">
      <c r="A25" s="76"/>
      <c r="B25" s="677" t="s">
        <v>493</v>
      </c>
      <c r="C25" s="5" t="s">
        <v>485</v>
      </c>
      <c r="D25" s="6" t="s">
        <v>647</v>
      </c>
      <c r="E25" s="288" t="s">
        <v>489</v>
      </c>
      <c r="F25" s="231" t="s">
        <v>598</v>
      </c>
      <c r="G25" s="6" t="s">
        <v>490</v>
      </c>
      <c r="H25" s="116" t="s">
        <v>491</v>
      </c>
      <c r="I25" s="663" t="s">
        <v>506</v>
      </c>
      <c r="J25" s="664"/>
      <c r="K25" s="117"/>
      <c r="L25" s="1"/>
      <c r="M25" s="653"/>
      <c r="N25" s="656"/>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row>
    <row r="26" spans="1:112" ht="15.75" customHeight="1">
      <c r="A26" s="76"/>
      <c r="B26" s="677"/>
      <c r="C26" s="227" t="s">
        <v>603</v>
      </c>
      <c r="D26" s="296"/>
      <c r="E26" s="140">
        <f ca="1">E21+F21+J21+SUM(E4:K4)+H21-IF(OR(Input!D17="Basic",Input!D17="VWoGK"),0,'Cost Calculation'!Q60)</f>
        <v>2273.5333333333333</v>
      </c>
      <c r="F26" s="667">
        <v>0.2</v>
      </c>
      <c r="G26" s="676">
        <f ca="1">E27+(E27*F26)</f>
        <v>3546.712</v>
      </c>
      <c r="H26" s="642">
        <f ca="1">G26-E26</f>
        <v>1273.1786666666667</v>
      </c>
      <c r="I26" s="670">
        <f ca="1">G26</f>
        <v>3546.712</v>
      </c>
      <c r="J26" s="671"/>
      <c r="K26" s="76"/>
      <c r="L26" s="1"/>
      <c r="M26" s="713" t="s">
        <v>716</v>
      </c>
      <c r="N26" s="715">
        <f>IF(OR(Input!D17="Basic",Input!D17="VWoGK",Input!D17="Basic +",Input!D17="VWmGK"),0,'Cost Calculation'!P13)</f>
        <v>0</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row>
    <row r="27" spans="1:112" ht="18.75" customHeight="1" thickBot="1">
      <c r="A27" s="76"/>
      <c r="B27" s="677"/>
      <c r="C27" s="227" t="s">
        <v>646</v>
      </c>
      <c r="D27" s="297">
        <v>0.3</v>
      </c>
      <c r="E27" s="140">
        <f ca="1">E26*(1+D27)</f>
        <v>2955.5933333333332</v>
      </c>
      <c r="F27" s="668"/>
      <c r="G27" s="676"/>
      <c r="H27" s="643"/>
      <c r="I27" s="672"/>
      <c r="J27" s="673"/>
      <c r="K27" s="76"/>
      <c r="L27" s="1"/>
      <c r="M27" s="714"/>
      <c r="N27" s="716"/>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row>
    <row r="28" spans="1:112" ht="18.75" customHeight="1" thickBot="1">
      <c r="A28" s="76"/>
      <c r="B28" s="678"/>
      <c r="C28" s="230" t="s">
        <v>599</v>
      </c>
      <c r="D28" s="298"/>
      <c r="E28" s="141">
        <f ca="1">E27*Input!D19</f>
        <v>14777.966666666667</v>
      </c>
      <c r="F28" s="669"/>
      <c r="G28" s="134">
        <f ca="1">E28+(E28*F26)</f>
        <v>17733.560000000001</v>
      </c>
      <c r="H28" s="134">
        <f ca="1">G28-E28</f>
        <v>2955.5933333333342</v>
      </c>
      <c r="I28" s="674"/>
      <c r="J28" s="675"/>
      <c r="K28" s="76"/>
      <c r="L28" s="1"/>
      <c r="M28" s="135"/>
      <c r="N28" s="136"/>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row>
    <row r="29" spans="1:112" ht="15.75" thickBot="1">
      <c r="A29" s="76"/>
      <c r="B29" s="119"/>
      <c r="C29" s="76"/>
      <c r="D29" s="76"/>
      <c r="E29" s="76"/>
      <c r="F29" s="76"/>
      <c r="G29" s="76"/>
      <c r="H29" s="76"/>
      <c r="I29" s="76"/>
      <c r="J29" s="108"/>
      <c r="K29" s="76"/>
      <c r="L29" s="1"/>
      <c r="M29" s="135"/>
      <c r="N29" s="136"/>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row>
    <row r="30" spans="1:112" ht="18.75" customHeight="1">
      <c r="A30" s="76"/>
      <c r="B30" s="679" t="s">
        <v>494</v>
      </c>
      <c r="C30" s="239" t="s">
        <v>603</v>
      </c>
      <c r="D30" s="289"/>
      <c r="E30" s="139">
        <f ca="1">E21+F21+J21+H21+SUM(E8:K8)-IF(OR(Vertragsart="Basic",Vertragsart="VWoGK"),0,'Cost Calculation'!W60)</f>
        <v>2273.5333333333333</v>
      </c>
      <c r="F30" s="682">
        <f ca="1">(I30-E31)/E31</f>
        <v>1.8759030899605043</v>
      </c>
      <c r="G30" s="644">
        <f ca="1">E31+(E31*F30)</f>
        <v>8500</v>
      </c>
      <c r="H30" s="644">
        <f ca="1">G30-E30</f>
        <v>6226.4666666666672</v>
      </c>
      <c r="I30" s="683">
        <v>8500</v>
      </c>
      <c r="J30" s="684"/>
      <c r="K30" s="1"/>
      <c r="L30" s="1"/>
      <c r="M30" s="137"/>
      <c r="N30" s="136"/>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row>
    <row r="31" spans="1:112" ht="18.75" customHeight="1">
      <c r="A31" s="76"/>
      <c r="B31" s="680"/>
      <c r="C31" s="227" t="s">
        <v>646</v>
      </c>
      <c r="D31" s="293">
        <v>0.3</v>
      </c>
      <c r="E31" s="126">
        <f ca="1">E30*(1+D31)</f>
        <v>2955.5933333333332</v>
      </c>
      <c r="F31" s="668"/>
      <c r="G31" s="694"/>
      <c r="H31" s="645"/>
      <c r="I31" s="685"/>
      <c r="J31" s="686"/>
      <c r="K31" s="1"/>
      <c r="L31" s="1"/>
      <c r="M31" s="137"/>
      <c r="N31" s="136"/>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row>
    <row r="32" spans="1:112" ht="15.75" thickBot="1">
      <c r="A32" s="76"/>
      <c r="B32" s="681"/>
      <c r="C32" s="230" t="s">
        <v>599</v>
      </c>
      <c r="D32" s="290"/>
      <c r="E32" s="9">
        <f ca="1">E31*Input!D19</f>
        <v>14777.966666666667</v>
      </c>
      <c r="F32" s="669"/>
      <c r="G32" s="9">
        <f ca="1">E32+(E32*F26)</f>
        <v>17733.560000000001</v>
      </c>
      <c r="H32" s="138">
        <f ca="1">G32-E32</f>
        <v>2955.5933333333342</v>
      </c>
      <c r="I32" s="687"/>
      <c r="J32" s="688"/>
      <c r="K32" s="1"/>
      <c r="L32" s="1"/>
      <c r="M32" s="137"/>
      <c r="N32" s="136"/>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row>
    <row r="33" spans="1:112" ht="15.75" thickBot="1">
      <c r="A33" s="76"/>
      <c r="B33" s="76"/>
      <c r="C33" s="125" t="s">
        <v>565</v>
      </c>
      <c r="D33" s="291"/>
      <c r="E33" s="141">
        <f ca="1">E30-E26</f>
        <v>0</v>
      </c>
      <c r="F33" s="176">
        <f ca="1">F30-F26</f>
        <v>1.6759030899605043</v>
      </c>
      <c r="G33" s="365">
        <f ca="1">G30-G26</f>
        <v>4953.2880000000005</v>
      </c>
      <c r="H33" s="365">
        <f ca="1">H30-H26</f>
        <v>4953.2880000000005</v>
      </c>
      <c r="I33" s="658">
        <f ca="1">I30-I26</f>
        <v>4953.2880000000005</v>
      </c>
      <c r="J33" s="659"/>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row>
    <row r="34" spans="1:112">
      <c r="A34" s="1"/>
      <c r="B34" s="76"/>
      <c r="C34" s="76"/>
      <c r="D34" s="76"/>
      <c r="E34" s="76"/>
      <c r="F34" s="76"/>
      <c r="G34" s="76"/>
      <c r="H34" s="76"/>
      <c r="I34" s="76"/>
      <c r="J34" s="76"/>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row>
    <row r="35" spans="1:112" ht="21">
      <c r="A35" s="1"/>
      <c r="B35" s="1"/>
      <c r="C35" s="489" t="s">
        <v>761</v>
      </c>
      <c r="D35" s="490"/>
      <c r="E35" s="491"/>
      <c r="F35" s="490"/>
      <c r="G35" s="490"/>
      <c r="H35" s="492"/>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row>
    <row r="36" spans="1:112">
      <c r="A36" s="1"/>
      <c r="B36" s="1"/>
      <c r="C36" s="637" t="s">
        <v>745</v>
      </c>
      <c r="D36" s="528" t="s">
        <v>757</v>
      </c>
      <c r="E36" s="493" t="s">
        <v>758</v>
      </c>
      <c r="F36" s="493" t="s">
        <v>759</v>
      </c>
      <c r="G36" s="493" t="s">
        <v>743</v>
      </c>
      <c r="H36" s="494" t="s">
        <v>760</v>
      </c>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row>
    <row r="37" spans="1:112" outlineLevel="1">
      <c r="A37" s="1"/>
      <c r="B37" s="1"/>
      <c r="C37" s="638"/>
      <c r="D37" s="485">
        <f>'Cost Calculation'!C73+1</f>
        <v>6</v>
      </c>
      <c r="E37" s="532">
        <v>10</v>
      </c>
      <c r="F37" s="485">
        <f>IF(ISBLANK(E37),0,E37-D37+1)</f>
        <v>5</v>
      </c>
      <c r="G37" s="533">
        <v>9000</v>
      </c>
      <c r="H37" s="486">
        <f>G37*F37</f>
        <v>45000</v>
      </c>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row>
    <row r="38" spans="1:112" outlineLevel="1">
      <c r="A38" s="1"/>
      <c r="B38" s="1"/>
      <c r="C38" s="638"/>
      <c r="D38" s="487">
        <f t="shared" ref="D38:D43" si="4">IF(ISBLANK(E37)=FALSE,E37+1,"")</f>
        <v>11</v>
      </c>
      <c r="E38" s="532"/>
      <c r="F38" s="485">
        <f t="shared" ref="F38:F43" si="5">IF(ISBLANK(E38),0,E38-D38+1)</f>
        <v>0</v>
      </c>
      <c r="G38" s="533">
        <v>10000</v>
      </c>
      <c r="H38" s="486">
        <f t="shared" ref="H38:H43" si="6">G38*F38</f>
        <v>0</v>
      </c>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row>
    <row r="39" spans="1:112" outlineLevel="1">
      <c r="A39" s="1"/>
      <c r="B39" s="1"/>
      <c r="C39" s="638"/>
      <c r="D39" s="487" t="str">
        <f t="shared" si="4"/>
        <v/>
      </c>
      <c r="E39" s="532"/>
      <c r="F39" s="485">
        <f>IF(ISBLANK(E39),0,E39-D39+1)</f>
        <v>0</v>
      </c>
      <c r="G39" s="533"/>
      <c r="H39" s="486">
        <f t="shared" si="6"/>
        <v>0</v>
      </c>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row>
    <row r="40" spans="1:112" outlineLevel="1">
      <c r="A40" s="1"/>
      <c r="B40" s="1"/>
      <c r="C40" s="638"/>
      <c r="D40" s="487" t="str">
        <f t="shared" si="4"/>
        <v/>
      </c>
      <c r="E40" s="532"/>
      <c r="F40" s="485">
        <f t="shared" si="5"/>
        <v>0</v>
      </c>
      <c r="G40" s="533"/>
      <c r="H40" s="486">
        <f t="shared" si="6"/>
        <v>0</v>
      </c>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row>
    <row r="41" spans="1:112" outlineLevel="1">
      <c r="A41" s="1"/>
      <c r="B41" s="1"/>
      <c r="C41" s="638"/>
      <c r="D41" s="487" t="str">
        <f t="shared" si="4"/>
        <v/>
      </c>
      <c r="E41" s="532"/>
      <c r="F41" s="485">
        <f t="shared" si="5"/>
        <v>0</v>
      </c>
      <c r="G41" s="533"/>
      <c r="H41" s="486">
        <f t="shared" si="6"/>
        <v>0</v>
      </c>
      <c r="I41" s="1"/>
      <c r="J41" s="1"/>
      <c r="K41" s="76"/>
      <c r="L41" s="76"/>
      <c r="M41" s="76"/>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row>
    <row r="42" spans="1:112">
      <c r="A42" s="1"/>
      <c r="B42" s="1"/>
      <c r="C42" s="638"/>
      <c r="D42" s="487" t="str">
        <f t="shared" si="4"/>
        <v/>
      </c>
      <c r="E42" s="532"/>
      <c r="F42" s="485">
        <f t="shared" si="5"/>
        <v>0</v>
      </c>
      <c r="G42" s="533"/>
      <c r="H42" s="486">
        <f t="shared" si="6"/>
        <v>0</v>
      </c>
      <c r="I42" s="1"/>
      <c r="J42" s="1"/>
      <c r="K42" s="1"/>
      <c r="L42" s="76"/>
      <c r="M42" s="76"/>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row>
    <row r="43" spans="1:112">
      <c r="A43" s="1"/>
      <c r="B43" s="1"/>
      <c r="C43" s="638"/>
      <c r="D43" s="487" t="str">
        <f t="shared" si="4"/>
        <v/>
      </c>
      <c r="E43" s="532"/>
      <c r="F43" s="485">
        <f t="shared" si="5"/>
        <v>0</v>
      </c>
      <c r="G43" s="533"/>
      <c r="H43" s="486">
        <f t="shared" si="6"/>
        <v>0</v>
      </c>
      <c r="I43" s="1"/>
      <c r="J43" s="1"/>
      <c r="K43" s="1"/>
      <c r="L43" s="76"/>
      <c r="M43" s="76"/>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row>
    <row r="44" spans="1:112">
      <c r="A44" s="1"/>
      <c r="B44" s="1"/>
      <c r="C44" s="639"/>
      <c r="D44" s="488"/>
      <c r="E44" s="531"/>
      <c r="F44" s="485">
        <f>SUM(F37:F43)</f>
        <v>5</v>
      </c>
      <c r="G44" s="485"/>
      <c r="H44" s="486">
        <f>SUM(H37:H43)</f>
        <v>45000</v>
      </c>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row>
    <row r="45" spans="1:112" ht="18.75">
      <c r="A45" s="1"/>
      <c r="B45" s="1"/>
      <c r="C45" s="529" t="s">
        <v>777</v>
      </c>
      <c r="D45" s="640">
        <f>IF(H44/F44=0,I30,H44/F44)</f>
        <v>9000</v>
      </c>
      <c r="E45" s="641"/>
      <c r="F45" s="641"/>
      <c r="G45" s="641"/>
      <c r="H45" s="64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row>
    <row r="46" spans="1:112">
      <c r="A46" s="1"/>
      <c r="B46" s="1"/>
      <c r="C46" s="1"/>
      <c r="D46" s="482"/>
      <c r="E46" s="54"/>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row>
    <row r="47" spans="1:112">
      <c r="A47" s="1"/>
      <c r="B47" s="1"/>
      <c r="C47" s="1"/>
      <c r="D47" s="54"/>
      <c r="E47" s="54"/>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row>
    <row r="48" spans="1:112">
      <c r="A48" s="1"/>
      <c r="B48" s="1"/>
      <c r="C48" s="1"/>
      <c r="D48" s="54"/>
      <c r="E48" s="54"/>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row>
    <row r="49" spans="1:112">
      <c r="A49" s="1"/>
      <c r="B49" s="1"/>
      <c r="C49" s="1"/>
      <c r="D49" s="54"/>
      <c r="E49" s="54"/>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row>
    <row r="50" spans="1:112" ht="15.75" customHeight="1">
      <c r="A50" s="1"/>
      <c r="B50" s="1"/>
      <c r="C50" s="1"/>
      <c r="D50" s="54"/>
      <c r="E50" s="54"/>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row>
    <row r="51" spans="1:112" ht="29.25" customHeight="1">
      <c r="A51" s="1"/>
      <c r="B51" s="1"/>
      <c r="C51" s="1"/>
      <c r="D51" s="54"/>
      <c r="E51" s="54"/>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row>
    <row r="52" spans="1:112">
      <c r="A52" s="1"/>
      <c r="B52" s="1"/>
      <c r="C52" s="1"/>
      <c r="D52" s="54"/>
      <c r="E52" s="54"/>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row>
    <row r="53" spans="1:11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row>
    <row r="54" spans="1:11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row>
    <row r="55" spans="1:11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row>
    <row r="56" spans="1:11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row>
    <row r="57" spans="1:11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row>
    <row r="58" spans="1:11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row>
    <row r="59" spans="1:11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row>
    <row r="60" spans="1:11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row>
    <row r="61" spans="1:11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row>
    <row r="62" spans="1:11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row>
    <row r="63" spans="1:11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row>
    <row r="64" spans="1:11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row>
    <row r="65" spans="1:11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row>
    <row r="66" spans="1:11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row>
    <row r="67" spans="1:11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row>
    <row r="68" spans="1:11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row>
    <row r="69" spans="1:11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row>
    <row r="70" spans="1:11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row>
    <row r="71" spans="1:11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row>
    <row r="72" spans="1:11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row>
    <row r="73" spans="1:11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row>
    <row r="74" spans="1:11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row>
    <row r="75" spans="1:11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row>
    <row r="76" spans="1:11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row>
    <row r="77" spans="1:11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row>
    <row r="78" spans="1:11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row>
    <row r="79" spans="1:11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row>
    <row r="80" spans="1:11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row>
    <row r="81" spans="1:11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row>
    <row r="82" spans="1:11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row>
    <row r="83" spans="1:11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row>
    <row r="84" spans="1:11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row>
    <row r="85" spans="1:11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row>
    <row r="86" spans="1:11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row>
    <row r="87" spans="1:11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row>
    <row r="88" spans="1:11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row>
    <row r="89" spans="1:11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row>
    <row r="90" spans="1:11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row>
    <row r="91" spans="1:11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row>
    <row r="92" spans="1:11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row>
    <row r="93" spans="1:11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row>
    <row r="94" spans="1:11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row>
    <row r="95" spans="1:11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row>
    <row r="96" spans="1:11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row>
    <row r="97" spans="1:11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row>
    <row r="98" spans="1:11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row>
    <row r="99" spans="1:11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row>
    <row r="100" spans="1:11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row>
    <row r="101" spans="1:11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row>
    <row r="102" spans="1:11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row>
    <row r="103" spans="1:11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row>
    <row r="104" spans="1:11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row>
    <row r="105" spans="1:11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row>
    <row r="106" spans="1:11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row>
    <row r="107" spans="1:11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row>
    <row r="108" spans="1:11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row>
    <row r="109" spans="1:11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row>
    <row r="110" spans="1:11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row>
    <row r="111" spans="1:11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row>
    <row r="112" spans="1: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row>
    <row r="113" spans="1:11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row>
    <row r="114" spans="1:11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row>
    <row r="115" spans="1:11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row>
    <row r="116" spans="1:11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row>
    <row r="117" spans="1:11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row>
    <row r="118" spans="1:11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row>
    <row r="119" spans="1:11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row>
    <row r="120" spans="1:11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row>
    <row r="121" spans="1:11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row>
    <row r="122" spans="1:11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row>
    <row r="123" spans="1:11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row>
    <row r="124" spans="1:11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row>
    <row r="125" spans="1:11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row>
    <row r="126" spans="1:11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row>
    <row r="127" spans="1:11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row>
    <row r="128" spans="1:11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row>
    <row r="129" spans="1:11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row>
    <row r="130" spans="1:11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row>
    <row r="131" spans="1:11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row>
    <row r="132" spans="1:11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row>
    <row r="133" spans="1:11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row>
    <row r="134" spans="1:11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row>
    <row r="135" spans="1:11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row>
    <row r="136" spans="1:11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row>
    <row r="137" spans="1:11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row>
    <row r="138" spans="1:11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row>
    <row r="139" spans="1:11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row>
    <row r="140" spans="1:11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row>
    <row r="141" spans="1:11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row>
    <row r="142" spans="1:11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row>
    <row r="143" spans="1:11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row>
    <row r="144" spans="1:11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row>
    <row r="145" spans="1:11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row>
    <row r="146" spans="1:11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row>
    <row r="147" spans="1:11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row>
    <row r="148" spans="1:11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row>
    <row r="149" spans="1:11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row>
    <row r="150" spans="1:11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row>
    <row r="151" spans="1:11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row>
    <row r="152" spans="1:11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row>
    <row r="153" spans="1:11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row>
    <row r="154" spans="1:11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row>
    <row r="155" spans="1:11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row>
    <row r="156" spans="1:11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row>
    <row r="157" spans="1:11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row>
    <row r="158" spans="1:11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row>
    <row r="159" spans="1:11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row>
    <row r="160" spans="1:11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row>
    <row r="161" spans="1:11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row>
    <row r="162" spans="1:11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row>
    <row r="163" spans="1:11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row>
    <row r="164" spans="1:11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row>
    <row r="165" spans="1:11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row>
    <row r="166" spans="1:11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row>
    <row r="167" spans="1:11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row>
    <row r="168" spans="1:11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row>
    <row r="169" spans="1:11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row>
    <row r="170" spans="1:11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row>
    <row r="171" spans="1:11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row>
    <row r="172" spans="1:11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row>
    <row r="173" spans="1:11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row>
    <row r="174" spans="1:11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row>
    <row r="175" spans="1:11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row>
    <row r="176" spans="1:11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row>
    <row r="177" spans="1:11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row>
    <row r="178" spans="1:11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row>
    <row r="179" spans="1:11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row>
    <row r="180" spans="1:11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row>
    <row r="181" spans="1:11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row>
    <row r="182" spans="1:11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row>
    <row r="183" spans="1:11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row>
    <row r="184" spans="1:11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row>
    <row r="185" spans="1:11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row>
    <row r="186" spans="1:11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row>
    <row r="187" spans="1:11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row>
    <row r="188" spans="1:11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row>
    <row r="189" spans="1:11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row>
    <row r="190" spans="1:11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row>
    <row r="191" spans="1:11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row>
    <row r="192" spans="1:11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row>
    <row r="193" spans="1:11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row>
    <row r="194" spans="1:11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row>
    <row r="195" spans="1:11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row>
    <row r="196" spans="1:11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row>
    <row r="197" spans="1:11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row>
    <row r="198" spans="1:11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row>
    <row r="199" spans="1:11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row>
    <row r="200" spans="1:11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row>
    <row r="201" spans="1:11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row>
    <row r="202" spans="1:11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row>
    <row r="203" spans="1:11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row>
    <row r="204" spans="1:11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row>
    <row r="205" spans="1:11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row>
    <row r="206" spans="1:11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row>
    <row r="207" spans="1:11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row>
    <row r="208" spans="1:11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row>
    <row r="209" spans="1:11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row>
    <row r="210" spans="1:11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row>
    <row r="211" spans="1:11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row>
    <row r="212" spans="1:1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row>
    <row r="213" spans="1:11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row>
    <row r="214" spans="1:11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row>
    <row r="215" spans="1:11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row>
    <row r="216" spans="1:11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row>
    <row r="217" spans="1:11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row>
    <row r="218" spans="1:11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row>
    <row r="219" spans="1:11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row>
    <row r="220" spans="1:11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row>
    <row r="221" spans="1:11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row>
    <row r="222" spans="1:11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row>
    <row r="223" spans="1:11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row>
    <row r="224" spans="1:11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row>
    <row r="225" spans="1:11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row>
    <row r="226" spans="1:11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row>
    <row r="227" spans="1:11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row>
    <row r="228" spans="1:11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row>
    <row r="229" spans="1:11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row>
    <row r="230" spans="1:11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row>
    <row r="231" spans="1:11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row>
    <row r="232" spans="1:11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row>
    <row r="233" spans="1:112">
      <c r="A233" s="1"/>
      <c r="C233" s="1"/>
      <c r="D233" s="1"/>
      <c r="E233" s="1"/>
      <c r="F233" s="1"/>
      <c r="G233" s="1"/>
      <c r="H233" s="1"/>
      <c r="I233" s="1"/>
      <c r="J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row>
    <row r="234" spans="1:112">
      <c r="C234" s="1"/>
      <c r="D234" s="1"/>
      <c r="E234" s="1"/>
      <c r="F234" s="1"/>
      <c r="G234" s="1"/>
      <c r="H234" s="1"/>
      <c r="I234" s="1"/>
      <c r="J234" s="1"/>
      <c r="L234" s="1"/>
      <c r="M234" s="1"/>
    </row>
    <row r="235" spans="1:112">
      <c r="C235" s="1"/>
      <c r="D235" s="1"/>
      <c r="E235" s="1"/>
      <c r="F235" s="1"/>
      <c r="G235" s="1"/>
      <c r="H235" s="1"/>
      <c r="I235" s="1"/>
      <c r="J235" s="1"/>
      <c r="L235" s="1"/>
      <c r="M235" s="1"/>
    </row>
    <row r="236" spans="1:112">
      <c r="C236" s="1"/>
      <c r="D236" s="1"/>
      <c r="E236" s="1"/>
      <c r="F236" s="1"/>
      <c r="G236" s="1"/>
      <c r="H236" s="1"/>
      <c r="I236" s="1"/>
      <c r="J236" s="1"/>
    </row>
    <row r="237" spans="1:112">
      <c r="C237" s="1"/>
      <c r="D237" s="1"/>
      <c r="E237" s="1"/>
      <c r="F237" s="1"/>
      <c r="G237" s="1"/>
      <c r="H237" s="1"/>
      <c r="I237" s="1"/>
      <c r="J237" s="1"/>
    </row>
    <row r="238" spans="1:112">
      <c r="C238" s="1"/>
      <c r="D238" s="1"/>
      <c r="E238" s="1"/>
      <c r="F238" s="1"/>
      <c r="G238" s="1"/>
      <c r="H238" s="1"/>
      <c r="I238" s="1"/>
      <c r="J238" s="1"/>
    </row>
  </sheetData>
  <sheetProtection algorithmName="SHA-512" hashValue="GSr8nMzF396GI/6yrmCruoxTqrgbbU8BUuLJ7oIUADAcxzEoQK3SxlzwqL4RJCFjJIU/tjUPYxXpOy8j6+MBTQ==" saltValue="uCRNyc/2yyBGx1p1cAr4tg==" spinCount="100000" sheet="1" objects="1" scenarios="1"/>
  <mergeCells count="60">
    <mergeCell ref="N22:N23"/>
    <mergeCell ref="N24:N25"/>
    <mergeCell ref="M26:M27"/>
    <mergeCell ref="N26:N27"/>
    <mergeCell ref="M24:M25"/>
    <mergeCell ref="C2:J2"/>
    <mergeCell ref="M6:M7"/>
    <mergeCell ref="M8:M9"/>
    <mergeCell ref="M10:M11"/>
    <mergeCell ref="M12:M13"/>
    <mergeCell ref="C3:D3"/>
    <mergeCell ref="C4:D4"/>
    <mergeCell ref="C5:D5"/>
    <mergeCell ref="C6:D6"/>
    <mergeCell ref="C8:D8"/>
    <mergeCell ref="C9:D9"/>
    <mergeCell ref="C10:D10"/>
    <mergeCell ref="C11:D11"/>
    <mergeCell ref="C22:D22"/>
    <mergeCell ref="G30:G31"/>
    <mergeCell ref="B4:B6"/>
    <mergeCell ref="B8:B10"/>
    <mergeCell ref="C13:J13"/>
    <mergeCell ref="C14:D14"/>
    <mergeCell ref="C16:D16"/>
    <mergeCell ref="C17:D17"/>
    <mergeCell ref="C20:D20"/>
    <mergeCell ref="C21:D21"/>
    <mergeCell ref="N18:N19"/>
    <mergeCell ref="N20:N21"/>
    <mergeCell ref="A15:A16"/>
    <mergeCell ref="I33:J33"/>
    <mergeCell ref="C19:J19"/>
    <mergeCell ref="I25:J25"/>
    <mergeCell ref="C24:J24"/>
    <mergeCell ref="F26:F28"/>
    <mergeCell ref="I26:J28"/>
    <mergeCell ref="G26:G27"/>
    <mergeCell ref="B25:B28"/>
    <mergeCell ref="B30:B32"/>
    <mergeCell ref="F30:F32"/>
    <mergeCell ref="I30:J32"/>
    <mergeCell ref="C15:D15"/>
    <mergeCell ref="B21:B22"/>
    <mergeCell ref="C36:C44"/>
    <mergeCell ref="D45:H45"/>
    <mergeCell ref="H26:H27"/>
    <mergeCell ref="H30:H31"/>
    <mergeCell ref="M3:N4"/>
    <mergeCell ref="N6:N7"/>
    <mergeCell ref="N8:N9"/>
    <mergeCell ref="M16:M17"/>
    <mergeCell ref="M14:M15"/>
    <mergeCell ref="M18:M19"/>
    <mergeCell ref="M20:M21"/>
    <mergeCell ref="M22:M23"/>
    <mergeCell ref="N10:N11"/>
    <mergeCell ref="N12:N13"/>
    <mergeCell ref="N14:N15"/>
    <mergeCell ref="N16:N17"/>
  </mergeCells>
  <conditionalFormatting sqref="G37:G43">
    <cfRule type="expression" dxfId="246" priority="4">
      <formula>$G$37&lt;$E$30</formula>
    </cfRule>
  </conditionalFormatting>
  <conditionalFormatting sqref="D45">
    <cfRule type="expression" dxfId="245" priority="3">
      <formula>$D$45&lt;$I$30</formula>
    </cfRule>
  </conditionalFormatting>
  <conditionalFormatting sqref="G38">
    <cfRule type="expression" dxfId="244" priority="1">
      <formula>$G$38&lt;$E$30</formula>
    </cfRule>
  </conditionalFormatting>
  <dataValidations count="5">
    <dataValidation allowBlank="1" showErrorMessage="1" promptTitle="test" prompt="test" sqref="M3" xr:uid="{00000000-0002-0000-0100-000000000000}"/>
    <dataValidation allowBlank="1" showInputMessage="1" showErrorMessage="1" promptTitle="Correction MC" prompt="Here you can adjust the MC assumptions. Please only adjust to the value 0." sqref="E11:K11" xr:uid="{00000000-0002-0000-0100-000001000000}"/>
    <dataValidation allowBlank="1" showInputMessage="1" showErrorMessage="1" promptTitle="Costs for one WTG per year or an" prompt="These costs are for one WTG per year or an MC exchange to keep an overview." sqref="M5:M25 N5:N6 N8 N10 N12 N14 N16 N18 N20 N22 N24" xr:uid="{00000000-0002-0000-0100-000002000000}"/>
    <dataValidation allowBlank="1" showInputMessage="1" showErrorMessage="1" promptTitle="Price - Tool" prompt="The price ist based on the given project margin and the assumptions from the tool." sqref="I26" xr:uid="{00000000-0002-0000-0100-000003000000}"/>
    <dataValidation allowBlank="1" showInputMessage="1" showErrorMessage="1" promptTitle="Price - Sales" prompt="The project margin is based on the price with the assumptions of the MC." sqref="I30" xr:uid="{00000000-0002-0000-0100-000004000000}"/>
  </dataValidations>
  <pageMargins left="0.7" right="0.7" top="0.78740157499999996" bottom="0.78740157499999996"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43" id="{D94A2AE7-FA9A-445C-BDC1-86538ABC6098}">
            <xm:f>IF(Input!$D$17="VVW",$E$21=0)</xm:f>
            <x14:dxf>
              <fill>
                <patternFill>
                  <bgColor rgb="FFFF0000"/>
                </patternFill>
              </fill>
            </x14:dxf>
          </x14:cfRule>
          <x14:cfRule type="expression" priority="44" id="{826CC3DE-AC07-4A87-8DC1-BA554D818FDD}">
            <xm:f>IF(Input!$D$17="VWmGKR",$E$21=0)</xm:f>
            <x14:dxf>
              <fill>
                <patternFill>
                  <bgColor rgb="FFFF0000"/>
                </patternFill>
              </fill>
            </x14:dxf>
          </x14:cfRule>
          <x14:cfRule type="expression" priority="45" id="{6A558B7D-9944-4203-9B3D-66042574028D}">
            <xm:f>IF(Input!$D$17="VWmGK",$E$21=0)</xm:f>
            <x14:dxf>
              <fill>
                <patternFill>
                  <bgColor rgb="FFFF0000"/>
                </patternFill>
              </fill>
            </x14:dxf>
          </x14:cfRule>
          <x14:cfRule type="expression" priority="46" id="{A935FBB6-104F-4596-A4CE-6406D9B655BC}">
            <xm:f>IF(Input!$D$17="VWoGK",$E$21=0)</xm:f>
            <x14:dxf>
              <fill>
                <patternFill>
                  <bgColor rgb="FFFF0000"/>
                </patternFill>
              </fill>
            </x14:dxf>
          </x14:cfRule>
          <x14:cfRule type="expression" priority="47" id="{A9277A05-C625-49D5-B7A4-3247C61487D0}">
            <xm:f>IF(Input!$D$17="Basic",$E$21=0)</xm:f>
            <x14:dxf>
              <fill>
                <patternFill>
                  <bgColor rgb="FFFF0000"/>
                </patternFill>
              </fill>
            </x14:dxf>
          </x14:cfRule>
          <xm:sqref>E21:E22</xm:sqref>
        </x14:conditionalFormatting>
        <x14:conditionalFormatting xmlns:xm="http://schemas.microsoft.com/office/excel/2006/main">
          <x14:cfRule type="expression" priority="39" id="{878907F3-25B4-44C1-B1F3-9A6AE9BE0E16}">
            <xm:f>IF(Input!$D$17="VVW",$F$21=0)</xm:f>
            <x14:dxf>
              <fill>
                <patternFill>
                  <bgColor rgb="FFFF0000"/>
                </patternFill>
              </fill>
            </x14:dxf>
          </x14:cfRule>
          <x14:cfRule type="expression" priority="40" id="{92601916-20CD-40DC-97D4-1B77AF1BC054}">
            <xm:f>IF(Input!$D$17="VWmGKR",$F$21=0)</xm:f>
            <x14:dxf>
              <fill>
                <patternFill>
                  <bgColor rgb="FFFF0000"/>
                </patternFill>
              </fill>
            </x14:dxf>
          </x14:cfRule>
          <x14:cfRule type="expression" priority="41" id="{380E49D9-F141-4AF1-8C85-A0E43EC7B9A9}">
            <xm:f>IF(Input!$D$17="VWmGK",$F$21=0)</xm:f>
            <x14:dxf>
              <fill>
                <patternFill>
                  <bgColor rgb="FFFF0000"/>
                </patternFill>
              </fill>
            </x14:dxf>
          </x14:cfRule>
          <x14:cfRule type="expression" priority="42" id="{98C62A5F-3CF6-42A7-9757-46310D83DC24}">
            <xm:f>IF(Input!$D$17="VWoGK",$F$21=0)</xm:f>
            <x14:dxf>
              <fill>
                <patternFill>
                  <bgColor rgb="FFFF0000"/>
                </patternFill>
              </fill>
            </x14:dxf>
          </x14:cfRule>
          <xm:sqref>F21:F22</xm:sqref>
        </x14:conditionalFormatting>
        <x14:conditionalFormatting xmlns:xm="http://schemas.microsoft.com/office/excel/2006/main">
          <x14:cfRule type="expression" priority="36" id="{E46EDFF6-C4FF-4F6D-9D65-A527C983D6E5}">
            <xm:f>IF(Input!$D$17="VVW",$G$21=0)</xm:f>
            <x14:dxf>
              <fill>
                <patternFill>
                  <bgColor rgb="FFFF0000"/>
                </patternFill>
              </fill>
            </x14:dxf>
          </x14:cfRule>
          <x14:cfRule type="expression" priority="37" id="{CE41C84A-70D9-4562-8BE2-71D924428916}">
            <xm:f>IF(Input!$D$17="VWmGKR",$G$21=0)</xm:f>
            <x14:dxf>
              <fill>
                <patternFill>
                  <bgColor rgb="FFFF0000"/>
                </patternFill>
              </fill>
            </x14:dxf>
          </x14:cfRule>
          <x14:cfRule type="expression" priority="38" id="{5D4F6A5E-CACB-4F0D-950B-845C2393C842}">
            <xm:f>IF(Input!$D$17="VWmGK",$G$21=0)</xm:f>
            <x14:dxf>
              <fill>
                <patternFill>
                  <bgColor rgb="FFFF0000"/>
                </patternFill>
              </fill>
            </x14:dxf>
          </x14:cfRule>
          <xm:sqref>G21:G22</xm:sqref>
        </x14:conditionalFormatting>
        <x14:conditionalFormatting xmlns:xm="http://schemas.microsoft.com/office/excel/2006/main">
          <x14:cfRule type="expression" priority="31" id="{5678AFEA-644A-469A-963D-9B60ADCB6477}">
            <xm:f>IF(Input!$D$17="VVW",$N$6=0)</xm:f>
            <x14:dxf>
              <fill>
                <patternFill>
                  <bgColor rgb="FFFF0000"/>
                </patternFill>
              </fill>
            </x14:dxf>
          </x14:cfRule>
          <x14:cfRule type="expression" priority="32" id="{EB4C145D-6BB0-4FC6-A971-9F27D1D54E7A}">
            <xm:f>IF(Input!$D$17="VWmGKR",$N$6=0)</xm:f>
            <x14:dxf>
              <fill>
                <patternFill>
                  <bgColor rgb="FFFF0000"/>
                </patternFill>
              </fill>
            </x14:dxf>
          </x14:cfRule>
          <x14:cfRule type="expression" priority="33" id="{752FC53B-7280-4E25-B211-CDE842976FF6}">
            <xm:f>IF(Input!$D$17="VWmGK",$N$6=0)</xm:f>
            <x14:dxf>
              <fill>
                <patternFill>
                  <bgColor rgb="FFFF0000"/>
                </patternFill>
              </fill>
            </x14:dxf>
          </x14:cfRule>
          <x14:cfRule type="expression" priority="34" id="{234CF762-08C0-4679-A0D1-D331317B0016}">
            <xm:f>IF(Input!$D$17="VWoGK",$N$6=0)</xm:f>
            <x14:dxf>
              <fill>
                <patternFill>
                  <bgColor rgb="FFFF0000"/>
                </patternFill>
              </fill>
            </x14:dxf>
          </x14:cfRule>
          <x14:cfRule type="expression" priority="35" id="{83928CF5-8940-4EE1-9E92-02FC12C5B88D}">
            <xm:f>IF(Input!$D$17="Basic",$N$6=0)</xm:f>
            <x14:dxf>
              <fill>
                <patternFill>
                  <bgColor rgb="FFFF0000"/>
                </patternFill>
              </fill>
            </x14:dxf>
          </x14:cfRule>
          <xm:sqref>N6:N7</xm:sqref>
        </x14:conditionalFormatting>
        <x14:conditionalFormatting xmlns:xm="http://schemas.microsoft.com/office/excel/2006/main">
          <x14:cfRule type="expression" priority="27" id="{06CBA989-154B-4A76-A4F0-33E95151745A}">
            <xm:f>IF(Input!$D$17="VVW",$N$8=0)</xm:f>
            <x14:dxf>
              <fill>
                <patternFill>
                  <bgColor rgb="FFFF0000"/>
                </patternFill>
              </fill>
            </x14:dxf>
          </x14:cfRule>
          <x14:cfRule type="expression" priority="28" id="{F9ECF185-8752-424D-B46E-28879784808A}">
            <xm:f>IF(Input!$D$17="VWmGKR",$N$8=0)</xm:f>
            <x14:dxf>
              <fill>
                <patternFill>
                  <bgColor rgb="FFFF0000"/>
                </patternFill>
              </fill>
            </x14:dxf>
          </x14:cfRule>
          <x14:cfRule type="expression" priority="29" id="{82283149-0E80-4B5D-8EC5-76A69D728FAF}">
            <xm:f>IF(Input!$D$17="VWmGK",$N$8=0)</xm:f>
            <x14:dxf>
              <fill>
                <patternFill>
                  <bgColor rgb="FFFF0000"/>
                </patternFill>
              </fill>
            </x14:dxf>
          </x14:cfRule>
          <x14:cfRule type="expression" priority="30" id="{7608533A-0AAF-48B2-8AD3-4F6CFA267650}">
            <xm:f>IF(Input!$D$17="VWoGK",$N$8=0)</xm:f>
            <x14:dxf>
              <fill>
                <patternFill>
                  <bgColor rgb="FFFF0000"/>
                </patternFill>
              </fill>
            </x14:dxf>
          </x14:cfRule>
          <xm:sqref>N8:N9</xm:sqref>
        </x14:conditionalFormatting>
        <x14:conditionalFormatting xmlns:xm="http://schemas.microsoft.com/office/excel/2006/main">
          <x14:cfRule type="expression" priority="24" id="{BAAED351-C3AE-4253-B18C-E2A764947530}">
            <xm:f>IF(Input!$D$17="VVW",$N$14=0)</xm:f>
            <x14:dxf>
              <fill>
                <patternFill>
                  <bgColor rgb="FFFF0000"/>
                </patternFill>
              </fill>
            </x14:dxf>
          </x14:cfRule>
          <x14:cfRule type="expression" priority="25" id="{531B6858-954C-4DFB-9092-3AE4C6B67FE1}">
            <xm:f>IF(Input!$D$17="VWmGKR",$N$14=0)</xm:f>
            <x14:dxf>
              <fill>
                <patternFill>
                  <bgColor rgb="FFFF0000"/>
                </patternFill>
              </fill>
            </x14:dxf>
          </x14:cfRule>
          <x14:cfRule type="expression" priority="26" id="{0822C8EF-1EFE-451D-BAF9-4CEB59D0428B}">
            <xm:f>IF(Input!$D$17="VWmGK",$N$14=0)</xm:f>
            <x14:dxf>
              <fill>
                <patternFill>
                  <bgColor rgb="FFFF0000"/>
                </patternFill>
              </fill>
            </x14:dxf>
          </x14:cfRule>
          <xm:sqref>N14:N15</xm:sqref>
        </x14:conditionalFormatting>
        <x14:conditionalFormatting xmlns:xm="http://schemas.microsoft.com/office/excel/2006/main">
          <x14:cfRule type="expression" priority="21" id="{3EB9393D-D38A-4622-BC29-1A5F90F31211}">
            <xm:f>IF(Input!$D$17="VVW",$N$16=0)</xm:f>
            <x14:dxf>
              <fill>
                <patternFill>
                  <bgColor rgb="FFFF0000"/>
                </patternFill>
              </fill>
            </x14:dxf>
          </x14:cfRule>
          <x14:cfRule type="expression" priority="22" id="{0233F087-2821-4DEA-BBCE-354763BB73E1}">
            <xm:f>IF(Input!$D$17="VWmGKR",$N$16=0)</xm:f>
            <x14:dxf>
              <fill>
                <patternFill>
                  <bgColor rgb="FFFF0000"/>
                </patternFill>
              </fill>
            </x14:dxf>
          </x14:cfRule>
          <x14:cfRule type="expression" priority="23" id="{D45EBAC0-C5A4-4AB1-A168-ADF501F33563}">
            <xm:f>IF(Input!$D$17="VWmGK",$N$16=0)</xm:f>
            <x14:dxf>
              <fill>
                <patternFill>
                  <bgColor rgb="FFFF0000"/>
                </patternFill>
              </fill>
            </x14:dxf>
          </x14:cfRule>
          <xm:sqref>N16:N17</xm:sqref>
        </x14:conditionalFormatting>
        <x14:conditionalFormatting xmlns:xm="http://schemas.microsoft.com/office/excel/2006/main">
          <x14:cfRule type="expression" priority="18" id="{9B289BE5-D6CB-4691-B757-0AA56182862F}">
            <xm:f>IF(Input!$D$17="VVW",$N$18=0)</xm:f>
            <x14:dxf>
              <fill>
                <patternFill>
                  <bgColor rgb="FFFF0000"/>
                </patternFill>
              </fill>
            </x14:dxf>
          </x14:cfRule>
          <x14:cfRule type="expression" priority="19" id="{4EFF1EDF-3EE0-418A-9077-A2F8CDB29EA5}">
            <xm:f>IF(Input!$D$17="VWmGKR",$N$18=0)</xm:f>
            <x14:dxf>
              <fill>
                <patternFill>
                  <bgColor rgb="FFFF0000"/>
                </patternFill>
              </fill>
            </x14:dxf>
          </x14:cfRule>
          <x14:cfRule type="expression" priority="20" id="{D3058C3A-1C09-4B87-B61D-EC8CA8C1B702}">
            <xm:f>IF(Input!$D$17="VWmGK",$N$18=0)</xm:f>
            <x14:dxf>
              <fill>
                <patternFill>
                  <bgColor rgb="FFFF0000"/>
                </patternFill>
              </fill>
            </x14:dxf>
          </x14:cfRule>
          <xm:sqref>N18:N19</xm:sqref>
        </x14:conditionalFormatting>
        <x14:conditionalFormatting xmlns:xm="http://schemas.microsoft.com/office/excel/2006/main">
          <x14:cfRule type="expression" priority="15" id="{06344019-19B7-4143-BAF5-CB84F74880EB}">
            <xm:f>IF(Input!$D$17="VVW",$N$20=0)</xm:f>
            <x14:dxf>
              <fill>
                <patternFill>
                  <bgColor rgb="FFFF0000"/>
                </patternFill>
              </fill>
            </x14:dxf>
          </x14:cfRule>
          <x14:cfRule type="expression" priority="16" id="{7A4DFCA2-6E0D-4B85-8E16-4424131B9DC8}">
            <xm:f>IF(Input!$D$17="VWmGK",$N$20=0)</xm:f>
            <x14:dxf>
              <fill>
                <patternFill>
                  <bgColor rgb="FFFF0000"/>
                </patternFill>
              </fill>
            </x14:dxf>
          </x14:cfRule>
          <x14:cfRule type="expression" priority="17" id="{72B36888-D86A-448B-B9ED-32504DA9D43B}">
            <xm:f>IF(Input!$D$17="VWmGKR",$N$20=0)</xm:f>
            <x14:dxf>
              <fill>
                <patternFill>
                  <bgColor rgb="FFFF0000"/>
                </patternFill>
              </fill>
            </x14:dxf>
          </x14:cfRule>
          <xm:sqref>N20:N21</xm:sqref>
        </x14:conditionalFormatting>
        <x14:conditionalFormatting xmlns:xm="http://schemas.microsoft.com/office/excel/2006/main">
          <x14:cfRule type="expression" priority="12" id="{CF8FDBF4-FE1C-4311-B05B-A945C76CEDE0}">
            <xm:f>IF(Input!$D$17="VVW",$N$22=0)</xm:f>
            <x14:dxf>
              <fill>
                <patternFill>
                  <bgColor rgb="FFFF0000"/>
                </patternFill>
              </fill>
            </x14:dxf>
          </x14:cfRule>
          <x14:cfRule type="expression" priority="13" id="{95BD0C20-5406-43AD-9CF4-D7508C04BD3E}">
            <xm:f>IF(Input!$D$17="VWmGKR",$N$22=0)</xm:f>
            <x14:dxf>
              <fill>
                <patternFill>
                  <bgColor rgb="FFFF0000"/>
                </patternFill>
              </fill>
            </x14:dxf>
          </x14:cfRule>
          <x14:cfRule type="expression" priority="14" id="{60E8B245-D2D6-42DD-BB6E-25A6B833788B}">
            <xm:f>IF(Input!$D$17="VWmGK",$N$22=0)</xm:f>
            <x14:dxf>
              <fill>
                <patternFill>
                  <bgColor rgb="FFFF0000"/>
                </patternFill>
              </fill>
            </x14:dxf>
          </x14:cfRule>
          <xm:sqref>N22:N23</xm:sqref>
        </x14:conditionalFormatting>
        <x14:conditionalFormatting xmlns:xm="http://schemas.microsoft.com/office/excel/2006/main">
          <x14:cfRule type="expression" priority="9" id="{B5316E41-5962-4006-8F43-9D82E2FE1DBE}">
            <xm:f>IF(Input!$D$17="VVW",$N$24=0)</xm:f>
            <x14:dxf>
              <fill>
                <patternFill>
                  <bgColor rgb="FFFF0000"/>
                </patternFill>
              </fill>
            </x14:dxf>
          </x14:cfRule>
          <x14:cfRule type="expression" priority="10" id="{9380B5DC-D1E7-496D-B497-BD9F2A41B7AF}">
            <xm:f>IF(Input!$D$17="VWmGKR",$N$24=0)</xm:f>
            <x14:dxf>
              <fill>
                <patternFill>
                  <bgColor rgb="FFFF0000"/>
                </patternFill>
              </fill>
            </x14:dxf>
          </x14:cfRule>
          <x14:cfRule type="expression" priority="11" id="{9A17F061-9DE1-4F2D-9C32-8B34760FD387}">
            <xm:f>IF(Input!$D$17="VWmGK",$N$24=0)</xm:f>
            <x14:dxf>
              <fill>
                <patternFill>
                  <bgColor rgb="FFFF0000"/>
                </patternFill>
              </fill>
            </x14:dxf>
          </x14:cfRule>
          <xm:sqref>N24:N25</xm:sqref>
        </x14:conditionalFormatting>
        <x14:conditionalFormatting xmlns:xm="http://schemas.microsoft.com/office/excel/2006/main">
          <x14:cfRule type="expression" priority="6" id="{3FAA80E1-651C-45D8-93F2-CD22C060D9E9}">
            <xm:f>IF(Input!$D$17="VVW",$N$26=0)</xm:f>
            <x14:dxf>
              <fill>
                <patternFill>
                  <bgColor rgb="FFFF0000"/>
                </patternFill>
              </fill>
            </x14:dxf>
          </x14:cfRule>
          <x14:cfRule type="expression" priority="7" id="{49D7F58C-8210-434E-A190-8D9316298BAB}">
            <xm:f>IF(Input!$D$17="VWmGKR",$N$26=0)</xm:f>
            <x14:dxf>
              <fill>
                <patternFill>
                  <bgColor rgb="FFFF0000"/>
                </patternFill>
              </fill>
            </x14:dxf>
          </x14:cfRule>
          <xm:sqref>N26:N27</xm:sqref>
        </x14:conditionalFormatting>
        <x14:conditionalFormatting xmlns:xm="http://schemas.microsoft.com/office/excel/2006/main">
          <x14:cfRule type="expression" priority="2" id="{434A0DC8-7521-4768-80A5-56F07F7BEB0F}">
            <xm:f>$F$44&lt;&gt;Input!$D$19</xm:f>
            <x14:dxf>
              <fill>
                <patternFill>
                  <bgColor theme="5"/>
                </patternFill>
              </fill>
            </x14:dxf>
          </x14:cfRule>
          <xm:sqref>F44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howOutlineSymbols="0"/>
  </sheetPr>
  <dimension ref="A1:DH233"/>
  <sheetViews>
    <sheetView showOutlineSymbols="0" zoomScale="54" zoomScaleNormal="70" workbookViewId="0">
      <selection activeCell="C65" sqref="C65"/>
    </sheetView>
  </sheetViews>
  <sheetFormatPr baseColWidth="10" defaultColWidth="11.5703125" defaultRowHeight="15" outlineLevelRow="1"/>
  <cols>
    <col min="1" max="1" width="24.7109375" style="336" customWidth="1"/>
    <col min="2" max="2" width="7.42578125" style="336" customWidth="1"/>
    <col min="3" max="3" width="42.5703125" style="336" customWidth="1"/>
    <col min="4" max="4" width="17.28515625" style="336" customWidth="1"/>
    <col min="5" max="5" width="20.5703125" style="336" customWidth="1"/>
    <col min="6" max="6" width="34" style="336" customWidth="1"/>
    <col min="7" max="7" width="20.7109375" style="336" customWidth="1"/>
    <col min="8" max="8" width="20.5703125" style="336" customWidth="1"/>
    <col min="9" max="9" width="24.42578125" style="336" customWidth="1"/>
    <col min="10" max="10" width="20.7109375" style="336" customWidth="1"/>
    <col min="11" max="11" width="23.5703125" style="336" customWidth="1"/>
    <col min="12" max="12" width="12.28515625" style="336" customWidth="1"/>
    <col min="13" max="13" width="27.5703125" style="336" customWidth="1"/>
    <col min="14" max="14" width="24.140625" style="336" customWidth="1"/>
    <col min="15" max="16384" width="11.5703125" style="336"/>
  </cols>
  <sheetData>
    <row r="1" spans="1:112" ht="15.75" thickBo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row>
    <row r="2" spans="1:112" ht="21.75" thickBot="1">
      <c r="A2" s="3"/>
      <c r="B2" s="3"/>
      <c r="C2" s="660" t="s">
        <v>597</v>
      </c>
      <c r="D2" s="661"/>
      <c r="E2" s="661"/>
      <c r="F2" s="661"/>
      <c r="G2" s="661"/>
      <c r="H2" s="661"/>
      <c r="I2" s="661"/>
      <c r="J2" s="662"/>
      <c r="K2" s="3"/>
      <c r="L2" s="1"/>
      <c r="M2" s="1"/>
      <c r="N2" s="4"/>
      <c r="O2" s="4"/>
      <c r="P2" s="4"/>
      <c r="Q2" s="4"/>
      <c r="R2" s="4"/>
      <c r="S2" s="3"/>
      <c r="T2" s="3"/>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row>
    <row r="3" spans="1:112" ht="15.75" customHeight="1" thickBot="1">
      <c r="A3" s="107"/>
      <c r="B3" s="118"/>
      <c r="C3" s="697" t="s">
        <v>485</v>
      </c>
      <c r="D3" s="698"/>
      <c r="E3" s="450" t="s">
        <v>92</v>
      </c>
      <c r="F3" s="6" t="s">
        <v>93</v>
      </c>
      <c r="G3" s="6" t="s">
        <v>194</v>
      </c>
      <c r="H3" s="6" t="s">
        <v>94</v>
      </c>
      <c r="I3" s="6" t="s">
        <v>95</v>
      </c>
      <c r="J3" s="104" t="s">
        <v>96</v>
      </c>
      <c r="K3" s="452" t="s">
        <v>714</v>
      </c>
      <c r="L3" s="1"/>
      <c r="M3" s="646" t="s">
        <v>593</v>
      </c>
      <c r="N3" s="646"/>
      <c r="O3" s="3"/>
      <c r="P3" s="3"/>
      <c r="Q3" s="3"/>
      <c r="R3" s="3"/>
      <c r="S3" s="3"/>
      <c r="T3" s="3"/>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row>
    <row r="4" spans="1:112" ht="15.75" customHeight="1" thickBot="1">
      <c r="A4" s="120"/>
      <c r="B4" s="680" t="s">
        <v>493</v>
      </c>
      <c r="C4" s="689" t="s">
        <v>492</v>
      </c>
      <c r="D4" s="690"/>
      <c r="E4" s="294">
        <f>IF(OR(Input!D17="Basic",Input!D17="VWoGK",Input!D17="Basic +"),0,'Cost Calculation'!Q52)</f>
        <v>0</v>
      </c>
      <c r="F4" s="126">
        <f>IF(OR(Input!D17="Basic",Input!D17="VWoGK",Input!D17="Basic +"),0,'Cost Calculation'!Q53)</f>
        <v>0</v>
      </c>
      <c r="G4" s="126">
        <f>IF(OR(Input!D17="Basic",Input!D17="VWoGK",Input!D17="Basic +"),0,'Cost Calculation'!Q57)</f>
        <v>0</v>
      </c>
      <c r="H4" s="126">
        <f>IF(OR(Input!D17="Basic",Input!D17="VWoGK",Input!D17="Basic +"),0,'Cost Calculation'!Q54)</f>
        <v>0</v>
      </c>
      <c r="I4" s="126">
        <f>IF(OR(Input!D17="Basic",Input!D17="VWoGK",Input!D17="Basic +"),0,'Cost Calculation'!Q55)</f>
        <v>0</v>
      </c>
      <c r="J4" s="358">
        <f>IF(OR(Input!D17="Basic",Input!D17="VWoGK",Input!D17="Basic +"),0,'Cost Calculation'!Q56)</f>
        <v>0</v>
      </c>
      <c r="K4" s="360">
        <f>IF(OR(Input!D17="Basic",Input!D17="VWoGK",Input!D17="VWmGK",Input!D17="Basic +"),0,'Cost Calculation'!Q58)</f>
        <v>0</v>
      </c>
      <c r="L4" s="1"/>
      <c r="M4" s="647"/>
      <c r="N4" s="647"/>
      <c r="O4" s="3"/>
      <c r="P4" s="3"/>
      <c r="Q4" s="3"/>
      <c r="R4" s="3"/>
      <c r="S4" s="3"/>
      <c r="T4" s="3"/>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row>
    <row r="5" spans="1:112">
      <c r="A5" s="123"/>
      <c r="B5" s="695"/>
      <c r="C5" s="703" t="s">
        <v>594</v>
      </c>
      <c r="D5" s="704"/>
      <c r="E5" s="294">
        <f>E4*Input!D11*'Cost Calculation'!C75</f>
        <v>0</v>
      </c>
      <c r="F5" s="126">
        <f>F4*Input!D11*'Cost Calculation'!C75</f>
        <v>0</v>
      </c>
      <c r="G5" s="126">
        <f>G4*Input!D11*'Cost Calculation'!C75</f>
        <v>0</v>
      </c>
      <c r="H5" s="126">
        <f>H4*Input!D11*'Cost Calculation'!C75</f>
        <v>0</v>
      </c>
      <c r="I5" s="126">
        <f>I4*Input!D11*'Cost Calculation'!C75</f>
        <v>0</v>
      </c>
      <c r="J5" s="358">
        <f>J4*Input!D11*'Cost Calculation'!C75</f>
        <v>0</v>
      </c>
      <c r="K5" s="360">
        <f>K4*Input!D19*Input!D11</f>
        <v>0</v>
      </c>
      <c r="L5" s="1"/>
      <c r="M5" s="228" t="s">
        <v>592</v>
      </c>
      <c r="N5" s="229" t="s">
        <v>712</v>
      </c>
      <c r="O5" s="3"/>
      <c r="P5" s="3"/>
      <c r="Q5" s="3"/>
      <c r="R5" s="3"/>
      <c r="S5" s="3"/>
      <c r="T5" s="3"/>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row>
    <row r="6" spans="1:112" ht="15.75" thickBot="1">
      <c r="A6" s="121"/>
      <c r="B6" s="696"/>
      <c r="C6" s="705" t="s">
        <v>595</v>
      </c>
      <c r="D6" s="706"/>
      <c r="E6" s="166">
        <f>IF(OR(Vertragsart="Basic",Vertragsart="Basic +",Vertragsart="VWoGK"),0,'Cost Calculation'!R7)</f>
        <v>0</v>
      </c>
      <c r="F6" s="166">
        <f>IF(OR(Vertragsart="Basic",Vertragsart="Basic +",Vertragsart="VWoGK"),0,'Cost Calculation'!R8)</f>
        <v>0</v>
      </c>
      <c r="G6" s="166">
        <f>IF(OR(Vertragsart="Basic",Vertragsart="Basic +",Vertragsart="VWoGK"),0,'Cost Calculation'!R12)</f>
        <v>0</v>
      </c>
      <c r="H6" s="166">
        <f>IF(OR(Vertragsart="Basic",Vertragsart="Basic +",Vertragsart="VWoGK"),0,'Cost Calculation'!R9)</f>
        <v>0</v>
      </c>
      <c r="I6" s="166">
        <f>IF(OR(Vertragsart="Basic",Vertragsart="Basic +",Vertragsart="VWoGK"),0,'Cost Calculation'!R10)</f>
        <v>0</v>
      </c>
      <c r="J6" s="166">
        <f>IF(OR(Vertragsart="Basic",Vertragsart="Basic +",Vertragsart="VWoGK"),0,'Cost Calculation'!R11)</f>
        <v>0</v>
      </c>
      <c r="K6" s="167">
        <f>IF(OR(Vertragsart="Basic",Vertragsart="Basic +",Vertragsart="VWoGK",Vertragsart="VWmGK"),0,Input!D19/10)</f>
        <v>0</v>
      </c>
      <c r="L6" s="1"/>
      <c r="M6" s="652" t="s">
        <v>486</v>
      </c>
      <c r="N6" s="648">
        <f ca="1">'Cost Calculation'!C50</f>
        <v>1173.5333333333333</v>
      </c>
      <c r="O6" s="3"/>
      <c r="P6" s="3"/>
      <c r="Q6" s="3"/>
      <c r="R6" s="3"/>
      <c r="S6" s="3"/>
      <c r="T6" s="3"/>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row>
    <row r="7" spans="1:112" ht="15.75" thickBot="1">
      <c r="A7" s="109"/>
      <c r="B7" s="119"/>
      <c r="C7" s="67"/>
      <c r="D7" s="67"/>
      <c r="E7" s="112"/>
      <c r="F7" s="124"/>
      <c r="G7" s="124"/>
      <c r="H7" s="124"/>
      <c r="I7" s="124"/>
      <c r="J7" s="124"/>
      <c r="K7" s="119"/>
      <c r="L7" s="1"/>
      <c r="M7" s="652"/>
      <c r="N7" s="649"/>
      <c r="O7" s="3"/>
      <c r="P7" s="3"/>
      <c r="Q7" s="3"/>
      <c r="R7" s="3"/>
      <c r="S7" s="3"/>
      <c r="T7" s="3"/>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row>
    <row r="8" spans="1:112">
      <c r="A8" s="120"/>
      <c r="B8" s="679" t="s">
        <v>494</v>
      </c>
      <c r="C8" s="707" t="s">
        <v>492</v>
      </c>
      <c r="D8" s="708"/>
      <c r="E8" s="127">
        <f>IF(OR(Input!D17="Basic",Input!D17="VWoGK",Input!D17="Basic +"),0,'Cost Calculation'!W52)</f>
        <v>0</v>
      </c>
      <c r="F8" s="127">
        <f>IF(OR(Input!D17="Basic",Input!D17="VWoGK",Input!D17="Basic +"),0,'Cost Calculation'!W53)</f>
        <v>0</v>
      </c>
      <c r="G8" s="127">
        <f>IF(OR(Input!D17="Basic",Input!D17="VWoGK",Input!D17="Basic +"),0,'Cost Calculation'!W57)</f>
        <v>0</v>
      </c>
      <c r="H8" s="127">
        <f>IF(OR(Input!D17="Basic",Input!D17="VWoGK",Input!D17="Basic +"),0,'Cost Calculation'!W54)</f>
        <v>0</v>
      </c>
      <c r="I8" s="127">
        <f>IF(OR(Input!D17="Basic",Input!D17="VWoGK",Input!D17="Basic +"),0,'Cost Calculation'!W55)</f>
        <v>0</v>
      </c>
      <c r="J8" s="127">
        <f>IF(OR(Input!D17="Basic",Input!D17="VWoGK",Input!D17="Basic +"),0,'Cost Calculation'!W56)</f>
        <v>0</v>
      </c>
      <c r="K8" s="128">
        <f>IF(OR(Input!D17="Basic",Input!D17="VWoGK",Input!D17="VWmGK",Input!D17="Basic +"),0,'Cost Calculation'!W58)</f>
        <v>0</v>
      </c>
      <c r="L8" s="1"/>
      <c r="M8" s="652" t="s">
        <v>487</v>
      </c>
      <c r="N8" s="650">
        <f>IF(OR(Input!D17="Basic",),0,'Cost Calculation'!I36)</f>
        <v>0</v>
      </c>
      <c r="O8" s="8"/>
      <c r="P8" s="8"/>
      <c r="Q8" s="8"/>
      <c r="R8" s="8"/>
      <c r="S8" s="8"/>
      <c r="T8" s="8"/>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row>
    <row r="9" spans="1:112">
      <c r="A9" s="122"/>
      <c r="B9" s="695"/>
      <c r="C9" s="703" t="s">
        <v>594</v>
      </c>
      <c r="D9" s="709"/>
      <c r="E9" s="129">
        <f>E8*Input!D11*'Cost Calculation'!C75</f>
        <v>0</v>
      </c>
      <c r="F9" s="129">
        <f>F8*Input!D11*'Cost Calculation'!C75</f>
        <v>0</v>
      </c>
      <c r="G9" s="129">
        <f>G8*Input!D11*'Cost Calculation'!C75</f>
        <v>0</v>
      </c>
      <c r="H9" s="129">
        <f>H8*Input!D11*'Cost Calculation'!C75</f>
        <v>0</v>
      </c>
      <c r="I9" s="129">
        <f>I8*Input!D11*'Cost Calculation'!C75</f>
        <v>0</v>
      </c>
      <c r="J9" s="129">
        <f>J8*Input!D11*'Cost Calculation'!C75</f>
        <v>0</v>
      </c>
      <c r="K9" s="130">
        <f>K8*Input!D11*'Cost Calculation'!C75</f>
        <v>0</v>
      </c>
      <c r="L9" s="1"/>
      <c r="M9" s="652"/>
      <c r="N9" s="651"/>
      <c r="O9" s="3"/>
      <c r="P9" s="3"/>
      <c r="Q9" s="3"/>
      <c r="R9" s="3"/>
      <c r="S9" s="3"/>
      <c r="T9" s="3"/>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row>
    <row r="10" spans="1:112" ht="15.75" thickBot="1">
      <c r="A10" s="121"/>
      <c r="B10" s="696"/>
      <c r="C10" s="705" t="s">
        <v>595</v>
      </c>
      <c r="D10" s="710"/>
      <c r="E10" s="295">
        <f t="shared" ref="E10:J10" si="0">E6+E11</f>
        <v>0</v>
      </c>
      <c r="F10" s="165">
        <f t="shared" si="0"/>
        <v>0</v>
      </c>
      <c r="G10" s="165">
        <f t="shared" si="0"/>
        <v>0</v>
      </c>
      <c r="H10" s="165">
        <f t="shared" si="0"/>
        <v>0</v>
      </c>
      <c r="I10" s="165">
        <f t="shared" si="0"/>
        <v>0</v>
      </c>
      <c r="J10" s="363">
        <f t="shared" si="0"/>
        <v>0</v>
      </c>
      <c r="K10" s="364">
        <f>K6+K11</f>
        <v>0</v>
      </c>
      <c r="L10" s="1"/>
      <c r="M10" s="652" t="s">
        <v>566</v>
      </c>
      <c r="N10" s="650">
        <f>'Cost Calculation'!AH31</f>
        <v>1100</v>
      </c>
      <c r="O10" s="3"/>
      <c r="P10" s="3"/>
      <c r="Q10" s="3"/>
      <c r="R10" s="3"/>
      <c r="S10" s="3"/>
      <c r="T10" s="3"/>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row>
    <row r="11" spans="1:112" ht="15.75" thickBot="1">
      <c r="A11" s="108"/>
      <c r="B11" s="108"/>
      <c r="C11" s="711" t="s">
        <v>596</v>
      </c>
      <c r="D11" s="712"/>
      <c r="E11" s="551">
        <v>0</v>
      </c>
      <c r="F11" s="552">
        <v>0</v>
      </c>
      <c r="G11" s="552">
        <v>0</v>
      </c>
      <c r="H11" s="552">
        <v>0</v>
      </c>
      <c r="I11" s="552">
        <v>0</v>
      </c>
      <c r="J11" s="553">
        <v>0</v>
      </c>
      <c r="K11" s="554">
        <v>0</v>
      </c>
      <c r="L11" s="1"/>
      <c r="M11" s="652"/>
      <c r="N11" s="651"/>
      <c r="O11" s="3"/>
      <c r="P11" s="3"/>
      <c r="Q11" s="3"/>
      <c r="R11" s="3"/>
      <c r="S11" s="3"/>
      <c r="T11" s="3"/>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row>
    <row r="12" spans="1:112" ht="15.75" thickBot="1">
      <c r="A12" s="108"/>
      <c r="B12" s="108"/>
      <c r="C12" s="76"/>
      <c r="D12" s="76"/>
      <c r="E12" s="76">
        <v>0</v>
      </c>
      <c r="F12" s="76"/>
      <c r="G12" s="76"/>
      <c r="H12" s="76"/>
      <c r="I12" s="76"/>
      <c r="J12" s="76">
        <v>-1</v>
      </c>
      <c r="K12" s="108"/>
      <c r="L12" s="1"/>
      <c r="M12" s="652" t="s">
        <v>488</v>
      </c>
      <c r="N12" s="650">
        <f>IFERROR('Cost Calculation'!AG7,0)</f>
        <v>0</v>
      </c>
      <c r="O12" s="3"/>
      <c r="P12" s="3"/>
      <c r="Q12" s="3"/>
      <c r="R12" s="3"/>
      <c r="S12" s="3"/>
      <c r="T12" s="3"/>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row>
    <row r="13" spans="1:112" ht="21.75" thickBot="1">
      <c r="A13" s="108"/>
      <c r="B13" s="108"/>
      <c r="C13" s="660" t="s">
        <v>572</v>
      </c>
      <c r="D13" s="661"/>
      <c r="E13" s="661"/>
      <c r="F13" s="661"/>
      <c r="G13" s="661"/>
      <c r="H13" s="661"/>
      <c r="I13" s="661"/>
      <c r="J13" s="662"/>
      <c r="K13" s="108"/>
      <c r="L13" s="1"/>
      <c r="M13" s="652"/>
      <c r="N13" s="651"/>
      <c r="O13" s="3"/>
      <c r="P13" s="3"/>
      <c r="Q13" s="3"/>
      <c r="R13" s="3"/>
      <c r="S13" s="3"/>
      <c r="T13" s="3"/>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row>
    <row r="14" spans="1:112">
      <c r="A14" s="108"/>
      <c r="B14" s="108"/>
      <c r="C14" s="697" t="s">
        <v>560</v>
      </c>
      <c r="D14" s="698"/>
      <c r="E14" s="6" t="s">
        <v>92</v>
      </c>
      <c r="F14" s="6" t="s">
        <v>93</v>
      </c>
      <c r="G14" s="6" t="s">
        <v>194</v>
      </c>
      <c r="H14" s="6" t="s">
        <v>94</v>
      </c>
      <c r="I14" s="6" t="s">
        <v>95</v>
      </c>
      <c r="J14" s="104" t="s">
        <v>96</v>
      </c>
      <c r="K14" s="452" t="s">
        <v>714</v>
      </c>
      <c r="L14" s="1"/>
      <c r="M14" s="652" t="s">
        <v>92</v>
      </c>
      <c r="N14" s="650">
        <f>IF(OR(Input!D17="Basic",Input!D17="VWoGK",Input!D17="Basic +"),0,'Cost Calculation'!P7+'Cost Calculation'!S7+'Cost Calculation'!T7)</f>
        <v>0</v>
      </c>
      <c r="O14" s="3"/>
      <c r="P14" s="3"/>
      <c r="Q14" s="3"/>
      <c r="R14" s="3"/>
      <c r="S14" s="3"/>
      <c r="T14" s="3"/>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row>
    <row r="15" spans="1:112">
      <c r="A15" s="657"/>
      <c r="B15" s="448"/>
      <c r="C15" s="689" t="s">
        <v>493</v>
      </c>
      <c r="D15" s="690"/>
      <c r="E15" s="126">
        <f t="shared" ref="E15:J15" si="1">E5</f>
        <v>0</v>
      </c>
      <c r="F15" s="126">
        <f>F5</f>
        <v>0</v>
      </c>
      <c r="G15" s="126">
        <f t="shared" si="1"/>
        <v>0</v>
      </c>
      <c r="H15" s="126">
        <f t="shared" si="1"/>
        <v>0</v>
      </c>
      <c r="I15" s="126">
        <f t="shared" si="1"/>
        <v>0</v>
      </c>
      <c r="J15" s="358">
        <f t="shared" si="1"/>
        <v>0</v>
      </c>
      <c r="K15" s="360">
        <f>K5</f>
        <v>0</v>
      </c>
      <c r="L15" s="1"/>
      <c r="M15" s="652"/>
      <c r="N15" s="651"/>
      <c r="O15" s="3"/>
      <c r="P15" s="3"/>
      <c r="Q15" s="3"/>
      <c r="R15" s="3"/>
      <c r="S15" s="3"/>
      <c r="T15" s="3"/>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row>
    <row r="16" spans="1:112" ht="15.75" thickBot="1">
      <c r="A16" s="657"/>
      <c r="B16" s="448"/>
      <c r="C16" s="699" t="s">
        <v>494</v>
      </c>
      <c r="D16" s="700"/>
      <c r="E16" s="131">
        <f t="shared" ref="E16:K16" si="2">E9</f>
        <v>0</v>
      </c>
      <c r="F16" s="131">
        <f t="shared" si="2"/>
        <v>0</v>
      </c>
      <c r="G16" s="131">
        <f t="shared" si="2"/>
        <v>0</v>
      </c>
      <c r="H16" s="131">
        <f t="shared" si="2"/>
        <v>0</v>
      </c>
      <c r="I16" s="131">
        <f t="shared" si="2"/>
        <v>0</v>
      </c>
      <c r="J16" s="359">
        <f t="shared" si="2"/>
        <v>0</v>
      </c>
      <c r="K16" s="361">
        <f t="shared" si="2"/>
        <v>0</v>
      </c>
      <c r="L16" s="1"/>
      <c r="M16" s="652" t="s">
        <v>93</v>
      </c>
      <c r="N16" s="655">
        <f>IF(OR(Input!D17="Basic",Input!D17="VWoGK",Input!D17="Basic +"),0,'Cost Calculation'!P8+'Cost Calculation'!S8+'Cost Calculation'!T8)</f>
        <v>0</v>
      </c>
      <c r="O16" s="3"/>
      <c r="P16" s="3"/>
      <c r="Q16" s="3"/>
      <c r="R16" s="3"/>
      <c r="S16" s="3"/>
      <c r="T16" s="3"/>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row>
    <row r="17" spans="1:112" ht="15.75" thickBot="1">
      <c r="A17" s="76"/>
      <c r="B17" s="76"/>
      <c r="C17" s="701" t="s">
        <v>565</v>
      </c>
      <c r="D17" s="702"/>
      <c r="E17" s="134">
        <f t="shared" ref="E17:K17" si="3">E16-E15</f>
        <v>0</v>
      </c>
      <c r="F17" s="134">
        <f t="shared" si="3"/>
        <v>0</v>
      </c>
      <c r="G17" s="134">
        <f t="shared" si="3"/>
        <v>0</v>
      </c>
      <c r="H17" s="134">
        <f t="shared" si="3"/>
        <v>0</v>
      </c>
      <c r="I17" s="134">
        <f t="shared" si="3"/>
        <v>0</v>
      </c>
      <c r="J17" s="134">
        <f t="shared" si="3"/>
        <v>0</v>
      </c>
      <c r="K17" s="362">
        <f t="shared" si="3"/>
        <v>0</v>
      </c>
      <c r="L17" s="1"/>
      <c r="M17" s="652"/>
      <c r="N17" s="656"/>
      <c r="O17" s="1"/>
      <c r="P17" s="1"/>
      <c r="Q17" s="1"/>
      <c r="R17" s="272"/>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row>
    <row r="18" spans="1:112" ht="15.75" thickBot="1">
      <c r="A18" s="76"/>
      <c r="B18" s="76"/>
      <c r="C18" s="455"/>
      <c r="D18" s="455"/>
      <c r="E18" s="453"/>
      <c r="F18" s="453"/>
      <c r="G18" s="453"/>
      <c r="H18" s="453"/>
      <c r="I18" s="453"/>
      <c r="J18" s="453"/>
      <c r="K18" s="453"/>
      <c r="L18" s="1"/>
      <c r="M18" s="652" t="s">
        <v>194</v>
      </c>
      <c r="N18" s="655">
        <f>IF(OR(Input!D17="Basic",Input!D17="VWoGK",Input!D17="Basic +"),0,'Cost Calculation'!P12+'Cost Calculation'!S12+'Cost Calculation'!T12)</f>
        <v>0</v>
      </c>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row>
    <row r="19" spans="1:112" ht="15.75" thickTop="1">
      <c r="A19" s="76"/>
      <c r="B19" s="76"/>
      <c r="C19" s="457"/>
      <c r="D19" s="458"/>
      <c r="E19" s="459" t="s">
        <v>171</v>
      </c>
      <c r="F19" s="460" t="s">
        <v>753</v>
      </c>
      <c r="G19" s="453"/>
      <c r="H19" s="453"/>
      <c r="I19" s="453"/>
      <c r="J19" s="453"/>
      <c r="K19" s="453"/>
      <c r="L19" s="1"/>
      <c r="M19" s="652"/>
      <c r="N19" s="656"/>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row>
    <row r="20" spans="1:112">
      <c r="A20" s="76"/>
      <c r="B20" s="76"/>
      <c r="C20" s="719" t="s">
        <v>167</v>
      </c>
      <c r="D20" s="720"/>
      <c r="E20" s="244">
        <f ca="1">'Cost Calculation'!AZ10</f>
        <v>139.20000000000002</v>
      </c>
      <c r="F20" s="461">
        <f>IF(Vertragsart="Basic +",0,'Cost Calculation'!AZ11)</f>
        <v>24</v>
      </c>
      <c r="G20" s="232"/>
      <c r="H20" s="232"/>
      <c r="I20" s="453"/>
      <c r="J20" s="232"/>
      <c r="K20" s="453"/>
      <c r="L20" s="1"/>
      <c r="M20" s="653" t="s">
        <v>94</v>
      </c>
      <c r="N20" s="655">
        <f>IF(OR(Input!D17="Basic",Input!D17="VWoGK",Input!D17="Basic +"),0,'Cost Calculation'!P9+'Cost Calculation'!S9+'Cost Calculation'!T9)</f>
        <v>0</v>
      </c>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row>
    <row r="21" spans="1:112">
      <c r="A21" s="76"/>
      <c r="B21" s="727"/>
      <c r="C21" s="719" t="s">
        <v>158</v>
      </c>
      <c r="D21" s="720"/>
      <c r="E21" s="244">
        <f ca="1">'Cost Calculation'!AZ4</f>
        <v>139.19999999999999</v>
      </c>
      <c r="F21" s="461">
        <f>'Cost Calculation'!AZ5</f>
        <v>24</v>
      </c>
      <c r="G21" s="232"/>
      <c r="H21" s="232"/>
      <c r="I21" s="453"/>
      <c r="J21" s="232"/>
      <c r="K21" s="453"/>
      <c r="L21" s="1"/>
      <c r="M21" s="654"/>
      <c r="N21" s="656"/>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row>
    <row r="22" spans="1:112">
      <c r="A22" s="76"/>
      <c r="B22" s="727"/>
      <c r="C22" s="719" t="s">
        <v>601</v>
      </c>
      <c r="D22" s="720"/>
      <c r="E22" s="721">
        <f>VLOOKUP(Input!D10,Tabelle1[#All],3,FALSE)</f>
        <v>1600</v>
      </c>
      <c r="F22" s="722"/>
      <c r="G22" s="454"/>
      <c r="H22" s="454"/>
      <c r="I22" s="454"/>
      <c r="J22" s="454"/>
      <c r="K22" s="453"/>
      <c r="L22" s="1"/>
      <c r="M22" s="652" t="s">
        <v>95</v>
      </c>
      <c r="N22" s="655">
        <f>IF(OR(Input!D17="Basic",Input!D17="VWoGK",Input!D17="Basic +"),0,'Cost Calculation'!P10+'Cost Calculation'!S10+'Cost Calculation'!T10)</f>
        <v>0</v>
      </c>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row>
    <row r="23" spans="1:112">
      <c r="A23" s="76"/>
      <c r="B23" s="112"/>
      <c r="C23" s="719" t="s">
        <v>749</v>
      </c>
      <c r="D23" s="720"/>
      <c r="E23" s="739">
        <f ca="1">(E21+F21)/E22</f>
        <v>0.10199999999999999</v>
      </c>
      <c r="F23" s="740"/>
      <c r="G23" s="454"/>
      <c r="H23" s="454"/>
      <c r="I23" s="454"/>
      <c r="J23" s="454"/>
      <c r="K23" s="453"/>
      <c r="L23" s="1"/>
      <c r="M23" s="652"/>
      <c r="N23" s="656"/>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row>
    <row r="24" spans="1:112">
      <c r="A24" s="76"/>
      <c r="B24" s="112"/>
      <c r="C24" s="719" t="s">
        <v>750</v>
      </c>
      <c r="D24" s="720"/>
      <c r="E24" s="735">
        <v>2</v>
      </c>
      <c r="F24" s="736"/>
      <c r="G24" s="454"/>
      <c r="H24" s="454"/>
      <c r="I24" s="454"/>
      <c r="J24" s="454"/>
      <c r="K24" s="453"/>
      <c r="L24" s="1"/>
      <c r="M24" s="652" t="s">
        <v>96</v>
      </c>
      <c r="N24" s="655">
        <f>IF(OR(Input!D17="Basic",Input!D17="VWoGK",Input!D17="Basic +"),0,'Cost Calculation'!P11+'Cost Calculation'!S11+'Cost Calculation'!T11)</f>
        <v>0</v>
      </c>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row>
    <row r="25" spans="1:112">
      <c r="A25" s="76"/>
      <c r="B25" s="112"/>
      <c r="C25" s="719" t="s">
        <v>751</v>
      </c>
      <c r="D25" s="720"/>
      <c r="E25" s="741">
        <f>E24/2</f>
        <v>1</v>
      </c>
      <c r="F25" s="742"/>
      <c r="G25" s="454"/>
      <c r="H25" s="454"/>
      <c r="I25" s="454"/>
      <c r="J25" s="454"/>
      <c r="K25" s="453"/>
      <c r="L25" s="1"/>
      <c r="M25" s="653"/>
      <c r="N25" s="656"/>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row>
    <row r="26" spans="1:112" ht="15.75" customHeight="1">
      <c r="A26" s="76"/>
      <c r="B26" s="112"/>
      <c r="C26" s="719" t="s">
        <v>752</v>
      </c>
      <c r="D26" s="720"/>
      <c r="E26" s="735">
        <v>1</v>
      </c>
      <c r="F26" s="736"/>
      <c r="G26" s="454"/>
      <c r="H26" s="454"/>
      <c r="I26" s="454"/>
      <c r="J26" s="454"/>
      <c r="K26" s="453"/>
      <c r="L26" s="1"/>
      <c r="M26" s="713" t="s">
        <v>716</v>
      </c>
      <c r="N26" s="733">
        <f>IF(OR(Input!D17="Basic",Input!D17="VWoGK",Input!D17="Basic +",Input!D17="VWmGK"),0,'Cost Calculation'!P13)</f>
        <v>0</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row>
    <row r="27" spans="1:112" ht="18.75" customHeight="1" thickBot="1">
      <c r="A27" s="76"/>
      <c r="B27" s="112"/>
      <c r="C27" s="719" t="s">
        <v>602</v>
      </c>
      <c r="D27" s="720"/>
      <c r="E27" s="737">
        <f>VLOOKUP(Input!D10,Tabelle1[#All],4,FALSE)*E24</f>
        <v>96000</v>
      </c>
      <c r="F27" s="738"/>
      <c r="G27" s="577"/>
      <c r="H27" s="454"/>
      <c r="I27" s="454"/>
      <c r="J27" s="454"/>
      <c r="K27" s="453"/>
      <c r="L27" s="1"/>
      <c r="M27" s="714"/>
      <c r="N27" s="734"/>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row>
    <row r="28" spans="1:112" ht="18.75" customHeight="1">
      <c r="A28" s="76"/>
      <c r="B28" s="112"/>
      <c r="C28" s="719" t="s">
        <v>754</v>
      </c>
      <c r="D28" s="720"/>
      <c r="E28" s="737">
        <f>VLOOKUP(Input!D10,Tabelle1[],5,FALSE)*E26</f>
        <v>20000</v>
      </c>
      <c r="F28" s="738"/>
      <c r="G28" s="232"/>
      <c r="H28" s="232"/>
      <c r="I28" s="453"/>
      <c r="J28" s="232"/>
      <c r="K28" s="453"/>
      <c r="L28" s="1"/>
      <c r="M28" s="135"/>
      <c r="N28" s="136"/>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row>
    <row r="29" spans="1:112" ht="15.75" thickBot="1">
      <c r="A29" s="76"/>
      <c r="B29" s="112"/>
      <c r="C29" s="728" t="s">
        <v>756</v>
      </c>
      <c r="D29" s="729"/>
      <c r="E29" s="730">
        <f ca="1">(E27+E28+E20+F20)/Input!D11</f>
        <v>4840.1333333333332</v>
      </c>
      <c r="F29" s="731"/>
      <c r="G29" s="453"/>
      <c r="H29" s="453"/>
      <c r="I29" s="453"/>
      <c r="J29" s="453"/>
      <c r="K29" s="453"/>
      <c r="L29" s="1"/>
      <c r="M29" s="135"/>
      <c r="N29" s="136"/>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row>
    <row r="30" spans="1:112" ht="18.75" customHeight="1" thickTop="1" thickBot="1">
      <c r="A30" s="76"/>
      <c r="B30" s="112"/>
      <c r="C30" s="76"/>
      <c r="D30" s="76"/>
      <c r="E30" s="76"/>
      <c r="F30" s="76"/>
      <c r="G30" s="76"/>
      <c r="H30" s="76"/>
      <c r="I30" s="76"/>
      <c r="J30" s="76"/>
      <c r="K30" s="76"/>
      <c r="L30" s="1"/>
      <c r="M30" s="137"/>
      <c r="N30" s="136"/>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row>
    <row r="31" spans="1:112" ht="18.75" customHeight="1" thickBot="1">
      <c r="A31" s="76"/>
      <c r="B31" s="112"/>
      <c r="C31" s="660" t="s">
        <v>748</v>
      </c>
      <c r="D31" s="661"/>
      <c r="E31" s="661"/>
      <c r="F31" s="661"/>
      <c r="G31" s="661"/>
      <c r="H31" s="661"/>
      <c r="I31" s="661"/>
      <c r="J31" s="662"/>
      <c r="K31" s="76"/>
      <c r="L31" s="1"/>
      <c r="M31" s="137"/>
      <c r="N31" s="136"/>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row>
    <row r="32" spans="1:112">
      <c r="A32" s="76"/>
      <c r="B32" s="76"/>
      <c r="C32" s="697" t="s">
        <v>485</v>
      </c>
      <c r="D32" s="698"/>
      <c r="E32" s="723" t="s">
        <v>755</v>
      </c>
      <c r="F32" s="724"/>
      <c r="G32" s="451" t="s">
        <v>564</v>
      </c>
      <c r="H32" s="451" t="s">
        <v>548</v>
      </c>
      <c r="I32" s="238" t="s">
        <v>562</v>
      </c>
      <c r="J32" s="350" t="s">
        <v>563</v>
      </c>
      <c r="K32" s="76"/>
      <c r="L32" s="1"/>
      <c r="M32" s="137"/>
      <c r="N32" s="136"/>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row>
    <row r="33" spans="1:112">
      <c r="A33" s="76"/>
      <c r="B33" s="76"/>
      <c r="C33" s="689" t="s">
        <v>495</v>
      </c>
      <c r="D33" s="690"/>
      <c r="E33" s="676">
        <f ca="1">E29</f>
        <v>4840.1333333333332</v>
      </c>
      <c r="F33" s="732"/>
      <c r="G33" s="133">
        <f>IF(OR(Input!D17="Basic",Input!D17="VWoGK",Input!D17="Basic +"),0,SUM('Cost Calculation'!W59))</f>
        <v>0</v>
      </c>
      <c r="H33" s="64">
        <f>IF(OR(Input!D17="Basic",Input!D17="Basic +",Input!D17="VWoGK"),0,'Cost Calculation'!AG7)</f>
        <v>0</v>
      </c>
      <c r="I33" s="129">
        <f>IF(OR(Input!D17="Basic",Input!D17="VWoGK",Input!D17="Basic +"),0,'Cost Calculation'!W60)</f>
        <v>0</v>
      </c>
      <c r="J33" s="351">
        <f>'Cost Calculation'!AH31</f>
        <v>1100</v>
      </c>
      <c r="K33" s="76"/>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row>
    <row r="34" spans="1:112" ht="15.75" thickBot="1">
      <c r="A34" s="1"/>
      <c r="B34" s="1"/>
      <c r="C34" s="692" t="s">
        <v>594</v>
      </c>
      <c r="D34" s="693"/>
      <c r="E34" s="725">
        <f ca="1">E29*Input!D11*Input!D19</f>
        <v>580816</v>
      </c>
      <c r="F34" s="726"/>
      <c r="G34" s="65">
        <f>((G33*Input!D19)*Input!D11)</f>
        <v>0</v>
      </c>
      <c r="H34" s="65">
        <f>H33*'Cost Calculation'!C75*Input!D11</f>
        <v>0</v>
      </c>
      <c r="I34" s="134">
        <f>I33*Input!D11*Input!D11</f>
        <v>0</v>
      </c>
      <c r="J34" s="352">
        <f>J33*Input!D19*Input!D11</f>
        <v>132000</v>
      </c>
      <c r="K34" s="76"/>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row>
    <row r="35" spans="1:112">
      <c r="A35" s="1"/>
      <c r="B35" s="1"/>
      <c r="C35" s="108"/>
      <c r="D35" s="108"/>
      <c r="E35" s="108"/>
      <c r="F35" s="108"/>
      <c r="G35" s="440"/>
      <c r="H35" s="108"/>
      <c r="I35" s="440"/>
      <c r="J35" s="108"/>
      <c r="K35" s="1"/>
      <c r="L35" s="1"/>
      <c r="M35" s="76"/>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row>
    <row r="36" spans="1:112" ht="21.75" thickBot="1">
      <c r="A36" s="1"/>
      <c r="B36" s="1"/>
      <c r="C36" s="665" t="s">
        <v>778</v>
      </c>
      <c r="D36" s="666"/>
      <c r="E36" s="666"/>
      <c r="F36" s="666"/>
      <c r="G36" s="666"/>
      <c r="H36" s="666"/>
      <c r="I36" s="666"/>
      <c r="J36" s="666"/>
      <c r="K36" s="1"/>
      <c r="L36" s="1"/>
      <c r="M36" s="76"/>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row>
    <row r="37" spans="1:112" ht="25.15" customHeight="1" outlineLevel="1">
      <c r="A37" s="1"/>
      <c r="B37" s="677" t="s">
        <v>493</v>
      </c>
      <c r="C37" s="5" t="s">
        <v>485</v>
      </c>
      <c r="D37" s="6" t="s">
        <v>647</v>
      </c>
      <c r="E37" s="450" t="s">
        <v>489</v>
      </c>
      <c r="F37" s="231" t="s">
        <v>598</v>
      </c>
      <c r="G37" s="6" t="s">
        <v>490</v>
      </c>
      <c r="H37" s="116" t="s">
        <v>491</v>
      </c>
      <c r="I37" s="663" t="s">
        <v>506</v>
      </c>
      <c r="J37" s="664"/>
      <c r="K37" s="1"/>
      <c r="L37" s="1"/>
      <c r="M37" s="76"/>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row>
    <row r="38" spans="1:112" outlineLevel="1">
      <c r="A38" s="1"/>
      <c r="B38" s="677"/>
      <c r="C38" s="227" t="s">
        <v>603</v>
      </c>
      <c r="D38" s="296"/>
      <c r="E38" s="140">
        <f ca="1">E33+J33+SUM(E4:K4)+H33-IF(OR(Input!D17="Basic",Input!D17="VWoGK"),0,'Cost Calculation'!Q60)</f>
        <v>5940.1333333333332</v>
      </c>
      <c r="F38" s="667">
        <v>0.2</v>
      </c>
      <c r="G38" s="676">
        <f ca="1">E39+(E39*F38)</f>
        <v>9266.6080000000002</v>
      </c>
      <c r="H38" s="642">
        <f ca="1">G38-E38</f>
        <v>3326.474666666667</v>
      </c>
      <c r="I38" s="670">
        <f ca="1">G38</f>
        <v>9266.6080000000002</v>
      </c>
      <c r="J38" s="67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row>
    <row r="39" spans="1:112" outlineLevel="1">
      <c r="A39" s="1"/>
      <c r="B39" s="677"/>
      <c r="C39" s="227" t="s">
        <v>646</v>
      </c>
      <c r="D39" s="297">
        <v>0.3</v>
      </c>
      <c r="E39" s="140">
        <f ca="1">E38*(1+D39)</f>
        <v>7722.1733333333332</v>
      </c>
      <c r="F39" s="668"/>
      <c r="G39" s="676"/>
      <c r="H39" s="643"/>
      <c r="I39" s="672"/>
      <c r="J39" s="673"/>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row>
    <row r="40" spans="1:112" ht="15" customHeight="1" outlineLevel="1" thickBot="1">
      <c r="A40" s="1"/>
      <c r="B40" s="678"/>
      <c r="C40" s="230" t="s">
        <v>599</v>
      </c>
      <c r="D40" s="298"/>
      <c r="E40" s="141">
        <f ca="1">E39*Input!D19</f>
        <v>38610.866666666669</v>
      </c>
      <c r="F40" s="669"/>
      <c r="G40" s="134">
        <f ca="1">E40+(E40*F38)</f>
        <v>46333.04</v>
      </c>
      <c r="H40" s="134">
        <f ca="1">G40-E40</f>
        <v>7722.1733333333323</v>
      </c>
      <c r="I40" s="674"/>
      <c r="J40" s="675"/>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row>
    <row r="41" spans="1:112" ht="15" customHeight="1" outlineLevel="1" thickBot="1">
      <c r="A41" s="1"/>
      <c r="B41" s="1"/>
      <c r="C41" s="76"/>
      <c r="D41" s="76"/>
      <c r="E41" s="76"/>
      <c r="F41" s="76"/>
      <c r="G41" s="76"/>
      <c r="H41" s="76"/>
      <c r="I41" s="76"/>
      <c r="J41" s="108"/>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row>
    <row r="42" spans="1:112" ht="14.45" customHeight="1">
      <c r="A42" s="1"/>
      <c r="B42" s="679" t="s">
        <v>494</v>
      </c>
      <c r="C42" s="239" t="s">
        <v>603</v>
      </c>
      <c r="D42" s="289"/>
      <c r="E42" s="139">
        <f ca="1">E33+J33+H33+SUM(E8:K8)-IF(OR(Vertragsart="Basic",Vertragsart="VWoGK"),0,'Cost Calculation'!W60)</f>
        <v>5940.1333333333332</v>
      </c>
      <c r="F42" s="682">
        <f ca="1">(I42-E43)/E43</f>
        <v>1.8489388997570635</v>
      </c>
      <c r="G42" s="644">
        <f ca="1">E43+(E43*F42)</f>
        <v>22000</v>
      </c>
      <c r="H42" s="464">
        <f ca="1">G42-E42</f>
        <v>16059.866666666667</v>
      </c>
      <c r="I42" s="683">
        <v>22000</v>
      </c>
      <c r="J42" s="684"/>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row>
    <row r="43" spans="1:112" ht="14.45" customHeight="1">
      <c r="A43" s="1"/>
      <c r="B43" s="680"/>
      <c r="C43" s="227" t="s">
        <v>646</v>
      </c>
      <c r="D43" s="293">
        <v>0.3</v>
      </c>
      <c r="E43" s="126">
        <f ca="1">E42*(1+D43)</f>
        <v>7722.1733333333332</v>
      </c>
      <c r="F43" s="668"/>
      <c r="G43" s="694"/>
      <c r="H43" s="465"/>
      <c r="I43" s="685"/>
      <c r="J43" s="686"/>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row>
    <row r="44" spans="1:112" ht="15" customHeight="1" thickBot="1">
      <c r="A44" s="1"/>
      <c r="B44" s="681"/>
      <c r="C44" s="230" t="s">
        <v>599</v>
      </c>
      <c r="D44" s="449"/>
      <c r="E44" s="9">
        <f ca="1">E43*Input!D19</f>
        <v>38610.866666666669</v>
      </c>
      <c r="F44" s="669"/>
      <c r="G44" s="9">
        <f ca="1">E44+(E44*F38)</f>
        <v>46333.04</v>
      </c>
      <c r="H44" s="138">
        <f ca="1">G44-E44</f>
        <v>7722.1733333333323</v>
      </c>
      <c r="I44" s="687"/>
      <c r="J44" s="688"/>
      <c r="K44" s="76"/>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row>
    <row r="45" spans="1:112" ht="15" customHeight="1" thickBot="1">
      <c r="A45" s="1"/>
      <c r="B45" s="1"/>
      <c r="C45" s="125" t="s">
        <v>565</v>
      </c>
      <c r="D45" s="291"/>
      <c r="E45" s="141">
        <f ca="1">E42-E38</f>
        <v>0</v>
      </c>
      <c r="F45" s="176">
        <f ca="1">F42-F38</f>
        <v>1.6489388997570635</v>
      </c>
      <c r="G45" s="365">
        <f ca="1">G42-G38</f>
        <v>12733.392</v>
      </c>
      <c r="H45" s="365">
        <f ca="1">H42-H38</f>
        <v>12733.392</v>
      </c>
      <c r="I45" s="658">
        <f ca="1">I42-I38</f>
        <v>12733.392</v>
      </c>
      <c r="J45" s="659"/>
      <c r="K45" s="76"/>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row>
    <row r="46" spans="1:112" ht="19.5" thickBot="1">
      <c r="A46" s="1"/>
      <c r="B46" s="1"/>
      <c r="C46" s="76"/>
      <c r="D46" s="76"/>
      <c r="E46" s="76"/>
      <c r="F46" s="76"/>
      <c r="G46" s="76"/>
      <c r="H46" s="76"/>
      <c r="I46" s="76"/>
      <c r="J46" s="76"/>
      <c r="K46" s="117"/>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row>
    <row r="47" spans="1:11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row>
    <row r="48" spans="1:112" ht="21">
      <c r="A48" s="1"/>
      <c r="B48" s="1"/>
      <c r="C48" s="489" t="s">
        <v>761</v>
      </c>
      <c r="D48" s="490"/>
      <c r="E48" s="491"/>
      <c r="F48" s="490"/>
      <c r="G48" s="490"/>
      <c r="H48" s="492"/>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row>
    <row r="49" spans="1:112">
      <c r="A49" s="1"/>
      <c r="B49" s="1"/>
      <c r="C49" s="637" t="s">
        <v>745</v>
      </c>
      <c r="D49" s="493" t="s">
        <v>757</v>
      </c>
      <c r="E49" s="493" t="s">
        <v>758</v>
      </c>
      <c r="F49" s="493" t="s">
        <v>759</v>
      </c>
      <c r="G49" s="493" t="s">
        <v>743</v>
      </c>
      <c r="H49" s="494" t="s">
        <v>760</v>
      </c>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row>
    <row r="50" spans="1:112" ht="15.75" customHeight="1">
      <c r="A50" s="1"/>
      <c r="B50" s="1"/>
      <c r="C50" s="638"/>
      <c r="D50" s="485">
        <f>'Cost Calculation'!C73+1</f>
        <v>6</v>
      </c>
      <c r="E50" s="532">
        <v>15</v>
      </c>
      <c r="F50" s="485">
        <f>IF(ISBLANK(E50),0,E50-D50+1)</f>
        <v>10</v>
      </c>
      <c r="G50" s="532">
        <v>41000</v>
      </c>
      <c r="H50" s="486">
        <f>G50*F50</f>
        <v>410000</v>
      </c>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row>
    <row r="51" spans="1:112" ht="29.25" customHeight="1">
      <c r="A51" s="1"/>
      <c r="B51" s="1"/>
      <c r="C51" s="638"/>
      <c r="D51" s="487">
        <f t="shared" ref="D51:D56" si="4">IF(ISBLANK(E50)=FALSE,E50+1,"")</f>
        <v>16</v>
      </c>
      <c r="E51" s="532">
        <v>18</v>
      </c>
      <c r="F51" s="485">
        <f t="shared" ref="F51:F56" si="5">IF(ISBLANK(E51),0,E51-D51+1)</f>
        <v>3</v>
      </c>
      <c r="G51" s="532">
        <v>45000</v>
      </c>
      <c r="H51" s="486">
        <f t="shared" ref="H51:H56" si="6">G51*F51</f>
        <v>135000</v>
      </c>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row>
    <row r="52" spans="1:112">
      <c r="A52" s="1"/>
      <c r="B52" s="1"/>
      <c r="C52" s="638"/>
      <c r="D52" s="487">
        <f t="shared" si="4"/>
        <v>19</v>
      </c>
      <c r="E52" s="532"/>
      <c r="F52" s="485">
        <f t="shared" si="5"/>
        <v>0</v>
      </c>
      <c r="G52" s="532"/>
      <c r="H52" s="486">
        <f t="shared" si="6"/>
        <v>0</v>
      </c>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row>
    <row r="53" spans="1:112">
      <c r="A53" s="1"/>
      <c r="B53" s="1"/>
      <c r="C53" s="638"/>
      <c r="D53" s="487" t="str">
        <f t="shared" si="4"/>
        <v/>
      </c>
      <c r="E53" s="532"/>
      <c r="F53" s="485">
        <f t="shared" si="5"/>
        <v>0</v>
      </c>
      <c r="G53" s="533"/>
      <c r="H53" s="486">
        <f t="shared" si="6"/>
        <v>0</v>
      </c>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row>
    <row r="54" spans="1:112" ht="15" customHeight="1">
      <c r="A54" s="1"/>
      <c r="B54" s="1"/>
      <c r="C54" s="638"/>
      <c r="D54" s="487" t="str">
        <f t="shared" si="4"/>
        <v/>
      </c>
      <c r="E54" s="532"/>
      <c r="F54" s="485">
        <f t="shared" si="5"/>
        <v>0</v>
      </c>
      <c r="G54" s="532"/>
      <c r="H54" s="486">
        <f t="shared" si="6"/>
        <v>0</v>
      </c>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row>
    <row r="55" spans="1:112" ht="14.45" customHeight="1">
      <c r="A55" s="1"/>
      <c r="B55" s="1"/>
      <c r="C55" s="638"/>
      <c r="D55" s="487" t="str">
        <f t="shared" si="4"/>
        <v/>
      </c>
      <c r="E55" s="532"/>
      <c r="F55" s="485">
        <f t="shared" si="5"/>
        <v>0</v>
      </c>
      <c r="G55" s="532"/>
      <c r="H55" s="486">
        <f t="shared" si="6"/>
        <v>0</v>
      </c>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row>
    <row r="56" spans="1:112" ht="14.45" customHeight="1">
      <c r="A56" s="1"/>
      <c r="B56" s="1"/>
      <c r="C56" s="638"/>
      <c r="D56" s="487" t="str">
        <f t="shared" si="4"/>
        <v/>
      </c>
      <c r="E56" s="532"/>
      <c r="F56" s="485">
        <f t="shared" si="5"/>
        <v>0</v>
      </c>
      <c r="G56" s="532"/>
      <c r="H56" s="486">
        <f t="shared" si="6"/>
        <v>0</v>
      </c>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row>
    <row r="57" spans="1:112" ht="14.45" customHeight="1">
      <c r="A57" s="1"/>
      <c r="B57" s="1"/>
      <c r="C57" s="639"/>
      <c r="D57" s="488"/>
      <c r="E57" s="531"/>
      <c r="F57" s="485">
        <f>SUM(F50:F56)</f>
        <v>13</v>
      </c>
      <c r="G57" s="531"/>
      <c r="H57" s="486">
        <f>SUM(H50:H56)</f>
        <v>545000</v>
      </c>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row>
    <row r="58" spans="1:112" ht="15" customHeight="1">
      <c r="A58" s="1"/>
      <c r="B58" s="1"/>
      <c r="C58" s="529" t="s">
        <v>777</v>
      </c>
      <c r="D58" s="717">
        <f>IF(H57/F57=0,I42,H57/F57)</f>
        <v>41923.076923076922</v>
      </c>
      <c r="E58" s="718"/>
      <c r="F58" s="718"/>
      <c r="G58" s="718"/>
      <c r="H58" s="718"/>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row>
    <row r="59" spans="1:11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row>
    <row r="60" spans="1:11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row>
    <row r="61" spans="1:11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row>
    <row r="62" spans="1:11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row>
    <row r="63" spans="1:11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row>
    <row r="64" spans="1:11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row>
    <row r="65" spans="1:11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row>
    <row r="66" spans="1:11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row>
    <row r="67" spans="1:11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row>
    <row r="68" spans="1:11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row>
    <row r="69" spans="1:112" ht="14.4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row>
    <row r="70" spans="1:112" ht="14.4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row>
    <row r="71" spans="1:112" ht="1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row>
    <row r="72" spans="1:11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row>
    <row r="73" spans="1:11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row>
    <row r="74" spans="1:11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row>
    <row r="75" spans="1:11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row>
    <row r="76" spans="1:11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row>
    <row r="77" spans="1:11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row>
    <row r="78" spans="1:11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row>
    <row r="79" spans="1:11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row>
    <row r="80" spans="1:11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row>
    <row r="81" spans="1:11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row>
    <row r="82" spans="1:11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row>
    <row r="83" spans="1:11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row>
    <row r="84" spans="1:11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row>
    <row r="85" spans="1:11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row>
    <row r="86" spans="1:11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row>
    <row r="87" spans="1:11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row>
    <row r="88" spans="1:11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row>
    <row r="89" spans="1:11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row>
    <row r="90" spans="1:11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row>
    <row r="91" spans="1:11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row>
    <row r="92" spans="1:11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row>
    <row r="93" spans="1:11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row>
    <row r="94" spans="1:11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row>
    <row r="95" spans="1:11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row>
    <row r="96" spans="1:11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row>
    <row r="97" spans="1:11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row>
    <row r="98" spans="1:11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row>
    <row r="99" spans="1:11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row>
    <row r="100" spans="1:11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row>
    <row r="101" spans="1:11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row>
    <row r="102" spans="1:11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row>
    <row r="103" spans="1:11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row>
    <row r="104" spans="1:11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row>
    <row r="105" spans="1:11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row>
    <row r="106" spans="1:11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row>
    <row r="107" spans="1:11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row>
    <row r="108" spans="1:11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row>
    <row r="109" spans="1:11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row>
    <row r="110" spans="1:11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row>
    <row r="111" spans="1:11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row>
    <row r="112" spans="1: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row>
    <row r="113" spans="1:11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row>
    <row r="114" spans="1:11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row>
    <row r="115" spans="1:11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row>
    <row r="116" spans="1:11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row>
    <row r="117" spans="1:11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row>
    <row r="118" spans="1:11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row>
    <row r="119" spans="1:11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row>
    <row r="120" spans="1:11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row>
    <row r="121" spans="1:11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row>
    <row r="122" spans="1:11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row>
    <row r="123" spans="1:11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row>
    <row r="124" spans="1:11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row>
    <row r="125" spans="1:11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row>
    <row r="126" spans="1:11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row>
    <row r="127" spans="1:11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row>
    <row r="128" spans="1:11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row>
    <row r="129" spans="1:11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row>
    <row r="130" spans="1:11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row>
    <row r="131" spans="1:11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row>
    <row r="132" spans="1:11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row>
    <row r="133" spans="1:11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row>
    <row r="134" spans="1:11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row>
    <row r="135" spans="1:11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row>
    <row r="136" spans="1:11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row>
    <row r="137" spans="1:11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row>
    <row r="138" spans="1:11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row>
    <row r="139" spans="1:11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row>
    <row r="140" spans="1:11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row>
    <row r="141" spans="1:11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row>
    <row r="142" spans="1:11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row>
    <row r="143" spans="1:11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row>
    <row r="144" spans="1:11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row>
    <row r="145" spans="1:11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row>
    <row r="146" spans="1:11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row>
    <row r="147" spans="1:11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row>
    <row r="148" spans="1:11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row>
    <row r="149" spans="1:11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row>
    <row r="150" spans="1:11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row>
    <row r="151" spans="1:11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row>
    <row r="152" spans="1:11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row>
    <row r="153" spans="1:11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row>
    <row r="154" spans="1:11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row>
    <row r="155" spans="1:11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row>
    <row r="156" spans="1:11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row>
    <row r="157" spans="1:11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row>
    <row r="158" spans="1:11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row>
    <row r="159" spans="1:11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row>
    <row r="160" spans="1:11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row>
    <row r="161" spans="1:11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row>
    <row r="162" spans="1:11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row>
    <row r="163" spans="1:11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row>
    <row r="164" spans="1:11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row>
    <row r="165" spans="1:11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row>
    <row r="166" spans="1:11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row>
    <row r="167" spans="1:11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row>
    <row r="168" spans="1:11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row>
    <row r="169" spans="1:11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row>
    <row r="170" spans="1:11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row>
    <row r="171" spans="1:11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row>
    <row r="172" spans="1:11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row>
    <row r="173" spans="1:11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row>
    <row r="174" spans="1:11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row>
    <row r="175" spans="1:11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row>
    <row r="176" spans="1:11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row>
    <row r="177" spans="1:11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row>
    <row r="178" spans="1:11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row>
    <row r="179" spans="1:11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row>
    <row r="180" spans="1:11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row>
    <row r="181" spans="1:11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row>
    <row r="182" spans="1:11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row>
    <row r="183" spans="1:11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row>
    <row r="184" spans="1:11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row>
    <row r="185" spans="1:11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row>
    <row r="186" spans="1:11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row>
    <row r="187" spans="1:11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row>
    <row r="188" spans="1:11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row>
    <row r="189" spans="1:11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row>
    <row r="190" spans="1:11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row>
    <row r="191" spans="1:11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row>
    <row r="192" spans="1:11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row>
    <row r="193" spans="1:11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row>
    <row r="194" spans="1:11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row>
    <row r="195" spans="1:11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row>
    <row r="196" spans="1:11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row>
    <row r="197" spans="1:11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row>
    <row r="198" spans="1:11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row>
    <row r="199" spans="1:11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row>
    <row r="200" spans="1:11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row>
    <row r="201" spans="1:11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row>
    <row r="202" spans="1:11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row>
    <row r="203" spans="1:11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row>
    <row r="204" spans="1:11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row>
    <row r="205" spans="1:112">
      <c r="A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row>
    <row r="206" spans="1:112">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row>
    <row r="207" spans="1:112">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row>
    <row r="208" spans="1:112">
      <c r="C208" s="1"/>
      <c r="D208" s="1"/>
      <c r="E208" s="1"/>
      <c r="F208" s="1"/>
      <c r="G208" s="1"/>
      <c r="H208" s="1"/>
      <c r="I208" s="1"/>
      <c r="J208" s="1"/>
      <c r="K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row>
    <row r="209" spans="3:112">
      <c r="C209" s="1"/>
      <c r="D209" s="1"/>
      <c r="E209" s="1"/>
      <c r="F209" s="1"/>
      <c r="G209" s="1"/>
      <c r="H209" s="1"/>
      <c r="I209" s="1"/>
      <c r="J209" s="1"/>
      <c r="K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row>
    <row r="210" spans="3:112">
      <c r="C210" s="1"/>
      <c r="D210" s="1"/>
      <c r="E210" s="1"/>
      <c r="F210" s="1"/>
      <c r="G210" s="1"/>
      <c r="H210" s="1"/>
      <c r="I210" s="1"/>
      <c r="J210" s="1"/>
      <c r="K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row>
    <row r="211" spans="3:112">
      <c r="C211" s="1"/>
      <c r="D211" s="1"/>
      <c r="E211" s="1"/>
      <c r="F211" s="1"/>
      <c r="G211" s="1"/>
      <c r="H211" s="1"/>
      <c r="I211" s="1"/>
      <c r="J211" s="1"/>
      <c r="K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row>
    <row r="212" spans="3:112">
      <c r="C212" s="1"/>
      <c r="D212" s="1"/>
      <c r="E212" s="1"/>
      <c r="F212" s="1"/>
      <c r="G212" s="1"/>
      <c r="H212" s="1"/>
      <c r="I212" s="1"/>
      <c r="J212" s="1"/>
      <c r="K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row>
    <row r="213" spans="3:112">
      <c r="C213" s="1"/>
      <c r="D213" s="1"/>
      <c r="E213" s="1"/>
      <c r="F213" s="1"/>
      <c r="G213" s="1"/>
      <c r="H213" s="1"/>
      <c r="I213" s="1"/>
      <c r="J213" s="1"/>
      <c r="K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row>
    <row r="214" spans="3:112">
      <c r="C214" s="1"/>
      <c r="D214" s="1"/>
      <c r="E214" s="1"/>
      <c r="F214" s="1"/>
      <c r="G214" s="1"/>
      <c r="H214" s="1"/>
      <c r="I214" s="1"/>
      <c r="J214" s="1"/>
      <c r="K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row>
    <row r="215" spans="3:112">
      <c r="C215" s="1"/>
      <c r="D215" s="1"/>
      <c r="E215" s="1"/>
      <c r="F215" s="1"/>
      <c r="G215" s="1"/>
      <c r="H215" s="1"/>
      <c r="I215" s="1"/>
      <c r="J215" s="1"/>
      <c r="K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row>
    <row r="216" spans="3:112">
      <c r="C216" s="1"/>
      <c r="D216" s="1"/>
      <c r="E216" s="1"/>
      <c r="F216" s="1"/>
      <c r="G216" s="1"/>
      <c r="H216" s="1"/>
      <c r="I216" s="1"/>
      <c r="J216" s="1"/>
      <c r="K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row>
    <row r="217" spans="3:112">
      <c r="C217" s="1"/>
      <c r="D217" s="1"/>
      <c r="E217" s="1"/>
      <c r="F217" s="1"/>
      <c r="G217" s="1"/>
      <c r="H217" s="1"/>
      <c r="I217" s="1"/>
      <c r="J217" s="1"/>
      <c r="K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row>
    <row r="218" spans="3:112">
      <c r="C218" s="1"/>
      <c r="D218" s="1"/>
      <c r="E218" s="1"/>
      <c r="F218" s="1"/>
      <c r="G218" s="1"/>
      <c r="H218" s="1"/>
      <c r="I218" s="1"/>
      <c r="J218" s="1"/>
      <c r="K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row>
    <row r="219" spans="3:112">
      <c r="C219" s="1"/>
      <c r="D219" s="1"/>
      <c r="E219" s="1"/>
      <c r="F219" s="1"/>
      <c r="G219" s="1"/>
      <c r="H219" s="1"/>
      <c r="I219" s="1"/>
      <c r="J219" s="1"/>
      <c r="K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row>
    <row r="220" spans="3:112">
      <c r="C220" s="1"/>
      <c r="D220" s="1"/>
      <c r="E220" s="1"/>
      <c r="F220" s="1"/>
      <c r="G220" s="1"/>
      <c r="H220" s="1"/>
      <c r="I220" s="1"/>
      <c r="J220" s="1"/>
      <c r="K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row>
    <row r="221" spans="3:112">
      <c r="C221" s="1"/>
      <c r="D221" s="1"/>
      <c r="E221" s="1"/>
      <c r="F221" s="1"/>
      <c r="G221" s="1"/>
      <c r="H221" s="1"/>
      <c r="I221" s="1"/>
      <c r="J221" s="1"/>
      <c r="K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row>
    <row r="222" spans="3:112">
      <c r="C222" s="1"/>
      <c r="D222" s="1"/>
      <c r="E222" s="1"/>
      <c r="F222" s="1"/>
      <c r="G222" s="1"/>
      <c r="H222" s="1"/>
      <c r="I222" s="1"/>
      <c r="J222" s="1"/>
      <c r="K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row>
    <row r="223" spans="3:112">
      <c r="K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row>
    <row r="224" spans="3:112">
      <c r="K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row>
    <row r="225" spans="11:112">
      <c r="K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row>
    <row r="226" spans="11:112">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row>
    <row r="227" spans="11:112">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row>
    <row r="228" spans="11:112">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row>
    <row r="229" spans="11:112">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row>
    <row r="230" spans="11:112">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row>
    <row r="231" spans="11:112">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row>
    <row r="232" spans="11:112">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row>
    <row r="233" spans="11:112">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row>
  </sheetData>
  <sheetProtection algorithmName="SHA-512" hashValue="24wGtwnfVkvBwuYiq7Bnhw0dpuo6rbt1hASOOhPP2Tbk9Wn0v5mlmScPATLRQL01uwc1NbYbhqHLKNCg66xLjw==" saltValue="FvLcAzRtXKE5Orqis5zXPQ==" spinCount="100000" sheet="1" objects="1" scenarios="1"/>
  <mergeCells count="80">
    <mergeCell ref="C2:J2"/>
    <mergeCell ref="C3:D3"/>
    <mergeCell ref="M3:N4"/>
    <mergeCell ref="B4:B6"/>
    <mergeCell ref="C4:D4"/>
    <mergeCell ref="C5:D5"/>
    <mergeCell ref="C6:D6"/>
    <mergeCell ref="M6:M7"/>
    <mergeCell ref="N6:N7"/>
    <mergeCell ref="B8:B10"/>
    <mergeCell ref="C8:D8"/>
    <mergeCell ref="M8:M9"/>
    <mergeCell ref="N8:N9"/>
    <mergeCell ref="C9:D9"/>
    <mergeCell ref="C10:D10"/>
    <mergeCell ref="M10:M11"/>
    <mergeCell ref="N10:N11"/>
    <mergeCell ref="C11:D11"/>
    <mergeCell ref="M12:M13"/>
    <mergeCell ref="N12:N13"/>
    <mergeCell ref="C13:J13"/>
    <mergeCell ref="C14:D14"/>
    <mergeCell ref="M14:M15"/>
    <mergeCell ref="N14:N15"/>
    <mergeCell ref="A15:A16"/>
    <mergeCell ref="C15:D15"/>
    <mergeCell ref="C16:D16"/>
    <mergeCell ref="M16:M17"/>
    <mergeCell ref="N16:N17"/>
    <mergeCell ref="C17:D17"/>
    <mergeCell ref="I37:J37"/>
    <mergeCell ref="M18:M19"/>
    <mergeCell ref="N18:N19"/>
    <mergeCell ref="C31:J31"/>
    <mergeCell ref="C32:D32"/>
    <mergeCell ref="M20:M21"/>
    <mergeCell ref="N20:N21"/>
    <mergeCell ref="E23:F23"/>
    <mergeCell ref="E25:F25"/>
    <mergeCell ref="E24:F24"/>
    <mergeCell ref="C25:D25"/>
    <mergeCell ref="M22:M23"/>
    <mergeCell ref="N22:N23"/>
    <mergeCell ref="C36:J36"/>
    <mergeCell ref="M24:M25"/>
    <mergeCell ref="N24:N25"/>
    <mergeCell ref="M26:M27"/>
    <mergeCell ref="N26:N27"/>
    <mergeCell ref="E26:F26"/>
    <mergeCell ref="E27:F27"/>
    <mergeCell ref="E28:F28"/>
    <mergeCell ref="I42:J44"/>
    <mergeCell ref="I45:J45"/>
    <mergeCell ref="F38:F40"/>
    <mergeCell ref="G38:G39"/>
    <mergeCell ref="H38:H39"/>
    <mergeCell ref="I38:J40"/>
    <mergeCell ref="B37:B40"/>
    <mergeCell ref="B42:B44"/>
    <mergeCell ref="E29:F29"/>
    <mergeCell ref="E33:F33"/>
    <mergeCell ref="G42:G43"/>
    <mergeCell ref="B21:B22"/>
    <mergeCell ref="C33:D33"/>
    <mergeCell ref="C34:D34"/>
    <mergeCell ref="C26:D26"/>
    <mergeCell ref="C27:D27"/>
    <mergeCell ref="C28:D28"/>
    <mergeCell ref="C29:D29"/>
    <mergeCell ref="C49:C57"/>
    <mergeCell ref="D58:H58"/>
    <mergeCell ref="C20:D20"/>
    <mergeCell ref="C21:D21"/>
    <mergeCell ref="C22:D22"/>
    <mergeCell ref="C23:D23"/>
    <mergeCell ref="C24:D24"/>
    <mergeCell ref="E22:F22"/>
    <mergeCell ref="F42:F44"/>
    <mergeCell ref="E32:F32"/>
    <mergeCell ref="E34:F34"/>
  </mergeCells>
  <conditionalFormatting sqref="G50:G56">
    <cfRule type="expression" dxfId="201" priority="4">
      <formula>$G$50&lt;$E$42</formula>
    </cfRule>
  </conditionalFormatting>
  <conditionalFormatting sqref="D58">
    <cfRule type="expression" dxfId="200" priority="3">
      <formula>$D$58&lt;$I$42</formula>
    </cfRule>
  </conditionalFormatting>
  <conditionalFormatting sqref="G51">
    <cfRule type="expression" dxfId="199" priority="1">
      <formula>$G$38&lt;$E$30</formula>
    </cfRule>
  </conditionalFormatting>
  <dataValidations count="5">
    <dataValidation allowBlank="1" showInputMessage="1" showErrorMessage="1" promptTitle="Price - Sales" prompt="The project margin is based on the price with the assumptions of the MC." sqref="I42" xr:uid="{00000000-0002-0000-0200-000000000000}"/>
    <dataValidation allowBlank="1" showInputMessage="1" showErrorMessage="1" promptTitle="Price - Tool" prompt="The price ist based on the given project margin and the assumptions from the tool." sqref="I38" xr:uid="{00000000-0002-0000-0200-000001000000}"/>
    <dataValidation allowBlank="1" showInputMessage="1" showErrorMessage="1" promptTitle="Costs for one WTG per year or an" prompt="These costs are for one WTG per year or an MC exchange to keep an overview." sqref="M5:M25 N5:N6 N8 N10 N12 N14 N16 N18 N20 N22 N24" xr:uid="{00000000-0002-0000-0200-000002000000}"/>
    <dataValidation allowBlank="1" showInputMessage="1" showErrorMessage="1" promptTitle="Correction MC" prompt="Here you can adjust the MC assumptions. Please only adjust to the value 0." sqref="E11:K11" xr:uid="{00000000-0002-0000-0200-000003000000}"/>
    <dataValidation allowBlank="1" showErrorMessage="1" promptTitle="test" prompt="test" sqref="M3" xr:uid="{00000000-0002-0000-0200-000004000000}"/>
  </dataValidations>
  <pageMargins left="0.7" right="0.7" top="0.78740157499999996" bottom="0.78740157499999996"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34" id="{E68E40A3-DB0D-4EE1-BDB1-A865E03041C0}">
            <xm:f>IF(Input!$D$17="VVW",$G$33=0)</xm:f>
            <x14:dxf>
              <fill>
                <patternFill>
                  <bgColor rgb="FFFF0000"/>
                </patternFill>
              </fill>
            </x14:dxf>
          </x14:cfRule>
          <x14:cfRule type="expression" priority="35" id="{93DD5511-E60B-4605-A9B0-A2822AEED9F0}">
            <xm:f>IF(Input!$D$17="VWmGKR",$G$33=0)</xm:f>
            <x14:dxf>
              <fill>
                <patternFill>
                  <bgColor rgb="FFFF0000"/>
                </patternFill>
              </fill>
            </x14:dxf>
          </x14:cfRule>
          <x14:cfRule type="expression" priority="36" id="{4B33F53B-9686-4D46-9C6D-A783140984F1}">
            <xm:f>IF(Input!$D$17="VWmGK",$G$33=0)</xm:f>
            <x14:dxf>
              <fill>
                <patternFill>
                  <bgColor rgb="FFFF0000"/>
                </patternFill>
              </fill>
            </x14:dxf>
          </x14:cfRule>
          <xm:sqref>G28 G33:G34 G20:G21</xm:sqref>
        </x14:conditionalFormatting>
        <x14:conditionalFormatting xmlns:xm="http://schemas.microsoft.com/office/excel/2006/main">
          <x14:cfRule type="expression" priority="29" id="{083CE1F1-C3CF-47FB-89C9-10C9732F0415}">
            <xm:f>IF(Input!$D$17="VVW",$N$6=0)</xm:f>
            <x14:dxf>
              <fill>
                <patternFill>
                  <bgColor rgb="FFFF0000"/>
                </patternFill>
              </fill>
            </x14:dxf>
          </x14:cfRule>
          <x14:cfRule type="expression" priority="30" id="{F30B4835-7448-4060-9214-B5E70CF8E242}">
            <xm:f>IF(Input!$D$17="VWmGKR",$N$6=0)</xm:f>
            <x14:dxf>
              <fill>
                <patternFill>
                  <bgColor rgb="FFFF0000"/>
                </patternFill>
              </fill>
            </x14:dxf>
          </x14:cfRule>
          <x14:cfRule type="expression" priority="31" id="{A5FB3A88-5921-4129-848B-0542A42A2CF2}">
            <xm:f>IF(Input!$D$17="VWmGK",$N$6=0)</xm:f>
            <x14:dxf>
              <fill>
                <patternFill>
                  <bgColor rgb="FFFF0000"/>
                </patternFill>
              </fill>
            </x14:dxf>
          </x14:cfRule>
          <x14:cfRule type="expression" priority="32" id="{C8CED06C-9F28-430D-B594-D9757A91358D}">
            <xm:f>IF(Input!$D$17="VWoGK",$N$6=0)</xm:f>
            <x14:dxf>
              <fill>
                <patternFill>
                  <bgColor rgb="FFFF0000"/>
                </patternFill>
              </fill>
            </x14:dxf>
          </x14:cfRule>
          <x14:cfRule type="expression" priority="33" id="{C430F845-7D1B-4B1B-81AD-522432BD064D}">
            <xm:f>IF(Input!$D$17="Basic",$N$6=0)</xm:f>
            <x14:dxf>
              <fill>
                <patternFill>
                  <bgColor rgb="FFFF0000"/>
                </patternFill>
              </fill>
            </x14:dxf>
          </x14:cfRule>
          <xm:sqref>N6:N7</xm:sqref>
        </x14:conditionalFormatting>
        <x14:conditionalFormatting xmlns:xm="http://schemas.microsoft.com/office/excel/2006/main">
          <x14:cfRule type="expression" priority="25" id="{E6EEE379-9585-4108-815B-F703B7B3C870}">
            <xm:f>IF(Input!$D$17="VVW",$N$8=0)</xm:f>
            <x14:dxf>
              <fill>
                <patternFill>
                  <bgColor rgb="FFFF0000"/>
                </patternFill>
              </fill>
            </x14:dxf>
          </x14:cfRule>
          <x14:cfRule type="expression" priority="26" id="{2E2FDF6C-2ECA-4215-B212-DB8767B09FAE}">
            <xm:f>IF(Input!$D$17="VWmGKR",$N$8=0)</xm:f>
            <x14:dxf>
              <fill>
                <patternFill>
                  <bgColor rgb="FFFF0000"/>
                </patternFill>
              </fill>
            </x14:dxf>
          </x14:cfRule>
          <x14:cfRule type="expression" priority="27" id="{59642CFD-9E06-4B7D-A18A-F54654950A76}">
            <xm:f>IF(Input!$D$17="VWmGK",$N$8=0)</xm:f>
            <x14:dxf>
              <fill>
                <patternFill>
                  <bgColor rgb="FFFF0000"/>
                </patternFill>
              </fill>
            </x14:dxf>
          </x14:cfRule>
          <x14:cfRule type="expression" priority="28" id="{BF62B6E1-E61C-4C12-AFC5-1F35AA321B63}">
            <xm:f>IF(Input!$D$17="VWoGK",$N$8=0)</xm:f>
            <x14:dxf>
              <fill>
                <patternFill>
                  <bgColor rgb="FFFF0000"/>
                </patternFill>
              </fill>
            </x14:dxf>
          </x14:cfRule>
          <xm:sqref>N8:N9</xm:sqref>
        </x14:conditionalFormatting>
        <x14:conditionalFormatting xmlns:xm="http://schemas.microsoft.com/office/excel/2006/main">
          <x14:cfRule type="expression" priority="22" id="{18112FD8-94AC-4D59-8D97-205E76F8F4C1}">
            <xm:f>IF(Input!$D$17="VVW",$N$14=0)</xm:f>
            <x14:dxf>
              <fill>
                <patternFill>
                  <bgColor rgb="FFFF0000"/>
                </patternFill>
              </fill>
            </x14:dxf>
          </x14:cfRule>
          <x14:cfRule type="expression" priority="23" id="{DAB8B1FF-9F8A-4E26-9081-B73C27A79BEA}">
            <xm:f>IF(Input!$D$17="VWmGKR",$N$14=0)</xm:f>
            <x14:dxf>
              <fill>
                <patternFill>
                  <bgColor rgb="FFFF0000"/>
                </patternFill>
              </fill>
            </x14:dxf>
          </x14:cfRule>
          <x14:cfRule type="expression" priority="24" id="{0DB18FC8-B50E-4EEF-BC7B-8F52805A1450}">
            <xm:f>IF(Input!$D$17="VWmGK",$N$14=0)</xm:f>
            <x14:dxf>
              <fill>
                <patternFill>
                  <bgColor rgb="FFFF0000"/>
                </patternFill>
              </fill>
            </x14:dxf>
          </x14:cfRule>
          <xm:sqref>N14:N15</xm:sqref>
        </x14:conditionalFormatting>
        <x14:conditionalFormatting xmlns:xm="http://schemas.microsoft.com/office/excel/2006/main">
          <x14:cfRule type="expression" priority="19" id="{D195C2E6-EEE5-4497-9815-671C755C3E8C}">
            <xm:f>IF(Input!$D$17="VVW",$N$16=0)</xm:f>
            <x14:dxf>
              <fill>
                <patternFill>
                  <bgColor rgb="FFFF0000"/>
                </patternFill>
              </fill>
            </x14:dxf>
          </x14:cfRule>
          <x14:cfRule type="expression" priority="20" id="{DC9B762A-4672-4276-B3D3-E78CFAC75575}">
            <xm:f>IF(Input!$D$17="VWmGKR",$N$16=0)</xm:f>
            <x14:dxf>
              <fill>
                <patternFill>
                  <bgColor rgb="FFFF0000"/>
                </patternFill>
              </fill>
            </x14:dxf>
          </x14:cfRule>
          <x14:cfRule type="expression" priority="21" id="{3AAB2147-538E-4AED-A3D8-6DABC0350D48}">
            <xm:f>IF(Input!$D$17="VWmGK",$N$16=0)</xm:f>
            <x14:dxf>
              <fill>
                <patternFill>
                  <bgColor rgb="FFFF0000"/>
                </patternFill>
              </fill>
            </x14:dxf>
          </x14:cfRule>
          <xm:sqref>N16:N17</xm:sqref>
        </x14:conditionalFormatting>
        <x14:conditionalFormatting xmlns:xm="http://schemas.microsoft.com/office/excel/2006/main">
          <x14:cfRule type="expression" priority="16" id="{AE95B06D-D6D8-4F89-9877-4D19CEE3B8DD}">
            <xm:f>IF(Input!$D$17="VVW",$N$18=0)</xm:f>
            <x14:dxf>
              <fill>
                <patternFill>
                  <bgColor rgb="FFFF0000"/>
                </patternFill>
              </fill>
            </x14:dxf>
          </x14:cfRule>
          <x14:cfRule type="expression" priority="17" id="{40F9E87D-8FE8-48C2-A34B-566EF1708DBF}">
            <xm:f>IF(Input!$D$17="VWmGKR",$N$18=0)</xm:f>
            <x14:dxf>
              <fill>
                <patternFill>
                  <bgColor rgb="FFFF0000"/>
                </patternFill>
              </fill>
            </x14:dxf>
          </x14:cfRule>
          <x14:cfRule type="expression" priority="18" id="{D75B9B27-FE13-4AB4-945B-546E1C9E6755}">
            <xm:f>IF(Input!$D$17="VWmGK",$N$18=0)</xm:f>
            <x14:dxf>
              <fill>
                <patternFill>
                  <bgColor rgb="FFFF0000"/>
                </patternFill>
              </fill>
            </x14:dxf>
          </x14:cfRule>
          <xm:sqref>N18:N19</xm:sqref>
        </x14:conditionalFormatting>
        <x14:conditionalFormatting xmlns:xm="http://schemas.microsoft.com/office/excel/2006/main">
          <x14:cfRule type="expression" priority="13" id="{9B645DD6-EE75-4BC4-B2DB-50DEB2173E6E}">
            <xm:f>IF(Input!$D$17="VVW",$N$20=0)</xm:f>
            <x14:dxf>
              <fill>
                <patternFill>
                  <bgColor rgb="FFFF0000"/>
                </patternFill>
              </fill>
            </x14:dxf>
          </x14:cfRule>
          <x14:cfRule type="expression" priority="14" id="{3260A9C6-22E4-4063-9EE5-44ED77C0DFF0}">
            <xm:f>IF(Input!$D$17="VWmGK",$N$20=0)</xm:f>
            <x14:dxf>
              <fill>
                <patternFill>
                  <bgColor rgb="FFFF0000"/>
                </patternFill>
              </fill>
            </x14:dxf>
          </x14:cfRule>
          <x14:cfRule type="expression" priority="15" id="{BE262005-3588-40AD-94F8-09F19FBCB9E7}">
            <xm:f>IF(Input!$D$17="VWmGKR",$N$20=0)</xm:f>
            <x14:dxf>
              <fill>
                <patternFill>
                  <bgColor rgb="FFFF0000"/>
                </patternFill>
              </fill>
            </x14:dxf>
          </x14:cfRule>
          <xm:sqref>N20:N21</xm:sqref>
        </x14:conditionalFormatting>
        <x14:conditionalFormatting xmlns:xm="http://schemas.microsoft.com/office/excel/2006/main">
          <x14:cfRule type="expression" priority="10" id="{7F0D3946-AEC0-4A62-A558-09D823696E0B}">
            <xm:f>IF(Input!$D$17="VVW",$N$22=0)</xm:f>
            <x14:dxf>
              <fill>
                <patternFill>
                  <bgColor rgb="FFFF0000"/>
                </patternFill>
              </fill>
            </x14:dxf>
          </x14:cfRule>
          <x14:cfRule type="expression" priority="11" id="{656BAF8F-AA92-4906-B04D-52A638AA121D}">
            <xm:f>IF(Input!$D$17="VWmGKR",$N$22=0)</xm:f>
            <x14:dxf>
              <fill>
                <patternFill>
                  <bgColor rgb="FFFF0000"/>
                </patternFill>
              </fill>
            </x14:dxf>
          </x14:cfRule>
          <x14:cfRule type="expression" priority="12" id="{F2F0D391-F8FD-4C98-8B1C-D6D405601077}">
            <xm:f>IF(Input!$D$17="VWmGK",$N$22=0)</xm:f>
            <x14:dxf>
              <fill>
                <patternFill>
                  <bgColor rgb="FFFF0000"/>
                </patternFill>
              </fill>
            </x14:dxf>
          </x14:cfRule>
          <xm:sqref>N22:N23</xm:sqref>
        </x14:conditionalFormatting>
        <x14:conditionalFormatting xmlns:xm="http://schemas.microsoft.com/office/excel/2006/main">
          <x14:cfRule type="expression" priority="7" id="{56663FAA-5A2D-4E5A-A093-6CBA6A5DCB5D}">
            <xm:f>IF(Input!$D$17="VVW",$N$24=0)</xm:f>
            <x14:dxf>
              <fill>
                <patternFill>
                  <bgColor rgb="FFFF0000"/>
                </patternFill>
              </fill>
            </x14:dxf>
          </x14:cfRule>
          <x14:cfRule type="expression" priority="8" id="{531DCFDE-7D3E-4910-9866-B66797DFF4DB}">
            <xm:f>IF(Input!$D$17="VWmGKR",$N$24=0)</xm:f>
            <x14:dxf>
              <fill>
                <patternFill>
                  <bgColor rgb="FFFF0000"/>
                </patternFill>
              </fill>
            </x14:dxf>
          </x14:cfRule>
          <x14:cfRule type="expression" priority="9" id="{F840D7B1-CEE2-485B-A214-239927F9E032}">
            <xm:f>IF(Input!$D$17="VWmGK",$N$24=0)</xm:f>
            <x14:dxf>
              <fill>
                <patternFill>
                  <bgColor rgb="FFFF0000"/>
                </patternFill>
              </fill>
            </x14:dxf>
          </x14:cfRule>
          <xm:sqref>N24:N25</xm:sqref>
        </x14:conditionalFormatting>
        <x14:conditionalFormatting xmlns:xm="http://schemas.microsoft.com/office/excel/2006/main">
          <x14:cfRule type="expression" priority="5" id="{24FB4E73-C935-4849-99F3-D1DE8CF7E47A}">
            <xm:f>IF(Input!$D$17="VVW",$N$26=0)</xm:f>
            <x14:dxf>
              <fill>
                <patternFill>
                  <bgColor rgb="FFFF0000"/>
                </patternFill>
              </fill>
            </x14:dxf>
          </x14:cfRule>
          <x14:cfRule type="expression" priority="6" id="{CD57C7B1-E226-44FA-AA6C-9EA641C46E8A}">
            <xm:f>IF(Input!$D$17="VWmGKR",$N$26=0)</xm:f>
            <x14:dxf>
              <fill>
                <patternFill>
                  <bgColor rgb="FFFF0000"/>
                </patternFill>
              </fill>
            </x14:dxf>
          </x14:cfRule>
          <xm:sqref>N26:N27</xm:sqref>
        </x14:conditionalFormatting>
        <x14:conditionalFormatting xmlns:xm="http://schemas.microsoft.com/office/excel/2006/main">
          <x14:cfRule type="expression" priority="47" id="{14D234D5-68F2-42D9-AAF1-8960CD049AA5}">
            <xm:f>IF(Input!$D$17="VVW",#REF!=0)</xm:f>
            <x14:dxf>
              <fill>
                <patternFill>
                  <bgColor rgb="FFFF0000"/>
                </patternFill>
              </fill>
            </x14:dxf>
          </x14:cfRule>
          <x14:cfRule type="expression" priority="48" id="{0460ACF7-CF44-4BE4-A70D-01896737E979}">
            <xm:f>IF(Input!$D$17="VWmGKR",#REF!=0)</xm:f>
            <x14:dxf>
              <fill>
                <patternFill>
                  <bgColor rgb="FFFF0000"/>
                </patternFill>
              </fill>
            </x14:dxf>
          </x14:cfRule>
          <x14:cfRule type="expression" priority="49" id="{99A6879A-075B-4826-A519-1ED6B5D60CD3}">
            <xm:f>IF(Input!$D$17="VWmGK",#REF!=0)</xm:f>
            <x14:dxf>
              <fill>
                <patternFill>
                  <bgColor rgb="FFFF0000"/>
                </patternFill>
              </fill>
            </x14:dxf>
          </x14:cfRule>
          <x14:cfRule type="expression" priority="50" id="{03F502BD-09BD-4B34-932B-3C2E8184D62B}">
            <xm:f>IF(Input!$D$17="VWoGK",#REF!=0)</xm:f>
            <x14:dxf>
              <fill>
                <patternFill>
                  <bgColor rgb="FFFF0000"/>
                </patternFill>
              </fill>
            </x14:dxf>
          </x14:cfRule>
          <x14:cfRule type="expression" priority="51" id="{6BFBBD70-E6C0-47FE-80EF-E30B57308B10}">
            <xm:f>IF(Input!$D$17="Basic",#REF!=0)</xm:f>
            <x14:dxf>
              <fill>
                <patternFill>
                  <bgColor rgb="FFFF0000"/>
                </patternFill>
              </fill>
            </x14:dxf>
          </x14:cfRule>
          <xm:sqref>E20:E28</xm:sqref>
        </x14:conditionalFormatting>
        <x14:conditionalFormatting xmlns:xm="http://schemas.microsoft.com/office/excel/2006/main">
          <x14:cfRule type="expression" priority="57" id="{EDDAED98-C67D-478F-A42C-8D4E0E0A6D6D}">
            <xm:f>IF(Input!$D$17="VVW",$E$34=0)</xm:f>
            <x14:dxf>
              <fill>
                <patternFill>
                  <bgColor rgb="FFFF0000"/>
                </patternFill>
              </fill>
            </x14:dxf>
          </x14:cfRule>
          <x14:cfRule type="expression" priority="58" id="{940AF568-F179-4CB0-98AA-B3151E3398C0}">
            <xm:f>IF(Input!$D$17="VWmGKR",$E$34=0)</xm:f>
            <x14:dxf>
              <fill>
                <patternFill>
                  <bgColor rgb="FFFF0000"/>
                </patternFill>
              </fill>
            </x14:dxf>
          </x14:cfRule>
          <x14:cfRule type="expression" priority="59" id="{2BB04112-9DDF-40FC-8D61-0DC4B9EBF84C}">
            <xm:f>IF(Input!$D$17="VWmGK",$E$34=0)</xm:f>
            <x14:dxf>
              <fill>
                <patternFill>
                  <bgColor rgb="FFFF0000"/>
                </patternFill>
              </fill>
            </x14:dxf>
          </x14:cfRule>
          <x14:cfRule type="expression" priority="60" id="{B116AF73-57CB-4636-80D7-7A42F144D3C6}">
            <xm:f>IF(Input!$D$17="VWoGK",$E$34=0)</xm:f>
            <x14:dxf>
              <fill>
                <patternFill>
                  <bgColor rgb="FFFF0000"/>
                </patternFill>
              </fill>
            </x14:dxf>
          </x14:cfRule>
          <xm:sqref>E34 F20:F21</xm:sqref>
        </x14:conditionalFormatting>
        <x14:conditionalFormatting xmlns:xm="http://schemas.microsoft.com/office/excel/2006/main">
          <x14:cfRule type="expression" priority="2" id="{2354A7A3-CEDB-4C9F-A0BE-5951D9906522}">
            <xm:f>$F$57&lt;&gt;Input!$D$19</xm:f>
            <x14:dxf>
              <fill>
                <patternFill>
                  <bgColor theme="5"/>
                </patternFill>
              </fill>
            </x14:dxf>
          </x14:cfRule>
          <xm:sqref>F57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dimension ref="A1:ER175"/>
  <sheetViews>
    <sheetView zoomScale="64" zoomScaleNormal="55" workbookViewId="0">
      <selection activeCell="H59" sqref="H59"/>
    </sheetView>
  </sheetViews>
  <sheetFormatPr baseColWidth="10" defaultRowHeight="15"/>
  <cols>
    <col min="2" max="2" width="55.42578125" customWidth="1"/>
    <col min="3" max="3" width="20.5703125" customWidth="1"/>
    <col min="4" max="4" width="35.85546875" customWidth="1"/>
    <col min="5" max="5" width="2.42578125" customWidth="1"/>
    <col min="7" max="7" width="34.28515625" customWidth="1"/>
    <col min="8" max="8" width="59.28515625" customWidth="1"/>
    <col min="9" max="9" width="2.85546875" customWidth="1"/>
    <col min="10" max="10" width="57.5703125" customWidth="1"/>
    <col min="11" max="11" width="3.42578125" customWidth="1"/>
    <col min="12" max="12" width="34.5703125" customWidth="1"/>
    <col min="13" max="13" width="30.7109375" customWidth="1"/>
  </cols>
  <sheetData>
    <row r="1" spans="1:148" s="76" customFormat="1" ht="18.75" customHeight="1">
      <c r="A1" s="755" t="s">
        <v>559</v>
      </c>
      <c r="B1" s="756"/>
      <c r="C1" s="756"/>
      <c r="D1" s="756"/>
      <c r="E1" s="756"/>
      <c r="F1" s="756"/>
      <c r="G1" s="756"/>
      <c r="H1" s="756"/>
      <c r="I1" s="756"/>
      <c r="J1" s="756"/>
      <c r="K1" s="756"/>
      <c r="L1" s="756"/>
      <c r="M1" s="756"/>
    </row>
    <row r="2" spans="1:148" s="76" customFormat="1" ht="16.5" customHeight="1">
      <c r="A2" s="756"/>
      <c r="B2" s="756"/>
      <c r="C2" s="756"/>
      <c r="D2" s="756"/>
      <c r="E2" s="756"/>
      <c r="F2" s="756"/>
      <c r="G2" s="756"/>
      <c r="H2" s="756"/>
      <c r="I2" s="756"/>
      <c r="J2" s="756"/>
      <c r="K2" s="756"/>
      <c r="L2" s="756"/>
      <c r="M2" s="756"/>
    </row>
    <row r="3" spans="1:148" hidden="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row>
    <row r="4" spans="1:148" ht="19.5" thickBot="1">
      <c r="A4" s="1"/>
      <c r="B4" s="161" t="s">
        <v>555</v>
      </c>
      <c r="C4" s="1"/>
      <c r="D4" s="1"/>
      <c r="E4" s="1"/>
      <c r="F4" s="161" t="s">
        <v>574</v>
      </c>
      <c r="G4" s="161"/>
      <c r="H4" s="1"/>
      <c r="I4" s="1"/>
      <c r="J4" s="161" t="s">
        <v>558</v>
      </c>
      <c r="K4" s="1"/>
      <c r="L4" s="1"/>
      <c r="M4" s="1"/>
      <c r="N4" s="164"/>
      <c r="O4" s="164"/>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row>
    <row r="5" spans="1:148">
      <c r="A5" s="1"/>
      <c r="B5" s="276" t="s">
        <v>1</v>
      </c>
      <c r="C5" s="283"/>
      <c r="D5" s="384" t="str">
        <f>Input!D3</f>
        <v>Encavis</v>
      </c>
      <c r="E5" s="1"/>
      <c r="F5" s="743" t="s">
        <v>615</v>
      </c>
      <c r="G5" s="744"/>
      <c r="H5" s="544">
        <f>Input!C34</f>
        <v>0</v>
      </c>
      <c r="I5" s="1"/>
      <c r="J5" s="607" t="s">
        <v>613</v>
      </c>
      <c r="K5" s="607"/>
      <c r="L5" s="174">
        <f ca="1">IF(D20=HelpInput!P5,'Output centralized'!E42,'Output decentralized'!E31)</f>
        <v>2955.5933333333332</v>
      </c>
      <c r="M5" s="1"/>
      <c r="N5" s="1"/>
      <c r="O5" s="164"/>
      <c r="P5" s="164"/>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row>
    <row r="6" spans="1:148">
      <c r="A6" s="1"/>
      <c r="B6" s="398" t="str">
        <f>Input!F3</f>
        <v>Contract Person:</v>
      </c>
      <c r="C6" s="255"/>
      <c r="D6" s="399" t="str">
        <f>Input!G3</f>
        <v>Haron Hassani</v>
      </c>
      <c r="E6" s="1"/>
      <c r="F6" s="745"/>
      <c r="G6" s="746"/>
      <c r="H6" s="545">
        <f>Input!C35</f>
        <v>0</v>
      </c>
      <c r="I6" s="1"/>
      <c r="J6" s="607" t="s">
        <v>557</v>
      </c>
      <c r="K6" s="607"/>
      <c r="L6" s="174">
        <f>IF(D20=HelpInput!P5,'Output centralized'!D58,'Output decentralized'!D45)</f>
        <v>9000</v>
      </c>
      <c r="M6" s="1"/>
      <c r="N6" s="1"/>
      <c r="O6" s="164"/>
      <c r="P6" s="164"/>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row>
    <row r="7" spans="1:148">
      <c r="A7" s="1"/>
      <c r="B7" s="277" t="s">
        <v>4</v>
      </c>
      <c r="C7" s="278"/>
      <c r="D7" s="374" t="str">
        <f>Input!D4</f>
        <v>Hauptstraße 1</v>
      </c>
      <c r="E7" s="1"/>
      <c r="F7" s="745"/>
      <c r="G7" s="746"/>
      <c r="H7" s="545">
        <f>Input!C36</f>
        <v>0</v>
      </c>
      <c r="I7" s="1"/>
      <c r="J7" s="607" t="s">
        <v>614</v>
      </c>
      <c r="K7" s="607"/>
      <c r="L7" s="174">
        <f ca="1">IF(D20=HelpInput!P5,'Output centralized'!H42,'Output decentralized'!H30)</f>
        <v>6226.4666666666672</v>
      </c>
      <c r="M7" s="1"/>
      <c r="N7" s="1"/>
      <c r="O7" s="164"/>
      <c r="P7" s="164"/>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row>
    <row r="8" spans="1:148" ht="15.75" thickBot="1">
      <c r="A8" s="1"/>
      <c r="B8" s="277" t="s">
        <v>6</v>
      </c>
      <c r="C8" s="220"/>
      <c r="D8" s="374" t="str">
        <f>Input!D5</f>
        <v>12345 Musterstadt</v>
      </c>
      <c r="E8" s="1"/>
      <c r="F8" s="745"/>
      <c r="G8" s="746"/>
      <c r="H8" s="546"/>
      <c r="I8" s="1"/>
      <c r="J8" s="607" t="s">
        <v>598</v>
      </c>
      <c r="K8" s="607"/>
      <c r="L8" s="211">
        <f ca="1">IF(D20=HelpInput!P5,'Output centralized'!F42,'Output decentralized'!F30)</f>
        <v>1.8759030899605043</v>
      </c>
      <c r="M8" s="1"/>
      <c r="N8" s="1"/>
      <c r="O8" s="164"/>
      <c r="P8" s="164"/>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row>
    <row r="9" spans="1:148" ht="15.75" thickBot="1">
      <c r="A9" s="1"/>
      <c r="B9" s="256" t="s">
        <v>10</v>
      </c>
      <c r="C9" s="221"/>
      <c r="D9" s="375" t="str">
        <f>Input!D6</f>
        <v>Germany</v>
      </c>
      <c r="E9" s="1"/>
      <c r="F9" s="204"/>
      <c r="G9" s="205"/>
      <c r="H9" s="206"/>
      <c r="I9" s="1"/>
      <c r="J9" s="299" t="s">
        <v>645</v>
      </c>
      <c r="K9" s="299"/>
      <c r="L9" s="211">
        <f>IF(D20=HelpInput!P5,'Output centralized'!D43,'Output decentralized'!D31)</f>
        <v>0.3</v>
      </c>
      <c r="M9" s="54"/>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row>
    <row r="10" spans="1:148" ht="15.75" thickBot="1">
      <c r="A10" s="1"/>
      <c r="B10" s="1"/>
      <c r="C10" s="1"/>
      <c r="D10" s="372"/>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row>
    <row r="11" spans="1:148" ht="19.5" thickBot="1">
      <c r="A11" s="1"/>
      <c r="B11" s="161" t="s">
        <v>8</v>
      </c>
      <c r="C11" s="1"/>
      <c r="D11" s="372"/>
      <c r="E11" s="1"/>
      <c r="F11" s="743" t="s">
        <v>617</v>
      </c>
      <c r="G11" s="744"/>
      <c r="H11" s="547"/>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row>
    <row r="12" spans="1:148">
      <c r="A12" s="1"/>
      <c r="B12" s="279" t="s">
        <v>1</v>
      </c>
      <c r="C12" s="280"/>
      <c r="D12" s="376" t="str">
        <f>Input!D9</f>
        <v>Gussenstadt</v>
      </c>
      <c r="E12" s="1"/>
      <c r="F12" s="745"/>
      <c r="G12" s="746"/>
      <c r="H12" s="548"/>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row>
    <row r="13" spans="1:148">
      <c r="A13" s="1"/>
      <c r="B13" s="281" t="s">
        <v>580</v>
      </c>
      <c r="C13" s="255"/>
      <c r="D13" s="377" t="str">
        <f>Input!D12</f>
        <v>Siemens</v>
      </c>
      <c r="E13" s="1"/>
      <c r="F13" s="745"/>
      <c r="G13" s="746"/>
      <c r="H13" s="548"/>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row>
    <row r="14" spans="1:148" ht="15.75" thickBot="1">
      <c r="A14" s="1"/>
      <c r="B14" s="281" t="s">
        <v>556</v>
      </c>
      <c r="C14" s="255"/>
      <c r="D14" s="377" t="str">
        <f>Input!D13</f>
        <v>AN Bonus 2000</v>
      </c>
      <c r="E14" s="1"/>
      <c r="F14" s="745"/>
      <c r="G14" s="746"/>
      <c r="H14" s="546"/>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row>
    <row r="15" spans="1:148">
      <c r="A15" s="1"/>
      <c r="B15" s="235" t="s">
        <v>608</v>
      </c>
      <c r="C15" s="220"/>
      <c r="D15" s="377">
        <f>Input!D11</f>
        <v>24</v>
      </c>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row>
    <row r="16" spans="1:148" ht="15.75" thickBot="1">
      <c r="A16" s="1"/>
      <c r="B16" s="235" t="s">
        <v>14</v>
      </c>
      <c r="C16" s="220"/>
      <c r="D16" s="378">
        <f>Input!G11</f>
        <v>41373</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row>
    <row r="17" spans="1:147">
      <c r="A17" s="1"/>
      <c r="B17" s="235" t="s">
        <v>639</v>
      </c>
      <c r="C17" s="220"/>
      <c r="D17" s="378" t="str">
        <f>Input!D10</f>
        <v>Germany</v>
      </c>
      <c r="E17" s="1"/>
      <c r="F17" s="743" t="s">
        <v>616</v>
      </c>
      <c r="G17" s="744"/>
      <c r="H17" s="547"/>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row>
    <row r="18" spans="1:147" ht="15.75" thickBot="1">
      <c r="A18" s="1"/>
      <c r="B18" s="236" t="s">
        <v>620</v>
      </c>
      <c r="C18" s="237"/>
      <c r="D18" s="379">
        <f>Input!D14</f>
        <v>0</v>
      </c>
      <c r="E18" s="1"/>
      <c r="F18" s="745"/>
      <c r="G18" s="746"/>
      <c r="H18" s="548"/>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row>
    <row r="19" spans="1:147">
      <c r="A19" s="1"/>
      <c r="B19" s="162"/>
      <c r="C19" s="462"/>
      <c r="D19" s="463"/>
      <c r="E19" s="1"/>
      <c r="F19" s="745"/>
      <c r="G19" s="746"/>
      <c r="H19" s="548"/>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row>
    <row r="20" spans="1:147" ht="15.75" thickBot="1">
      <c r="A20" s="1"/>
      <c r="B20" s="356" t="s">
        <v>649</v>
      </c>
      <c r="C20" s="357"/>
      <c r="D20" s="387" t="s">
        <v>650</v>
      </c>
      <c r="E20" s="1"/>
      <c r="F20" s="745"/>
      <c r="G20" s="746"/>
      <c r="H20" s="546"/>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row>
    <row r="21" spans="1:147">
      <c r="A21" s="1"/>
      <c r="B21" s="1"/>
      <c r="C21" s="1"/>
      <c r="D21" s="372"/>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row>
    <row r="22" spans="1:147" ht="19.5" thickBot="1">
      <c r="A22" s="1"/>
      <c r="B22" s="161" t="s">
        <v>81</v>
      </c>
      <c r="C22" s="161"/>
      <c r="D22" s="372"/>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row>
    <row r="23" spans="1:147">
      <c r="A23" s="1"/>
      <c r="B23" s="761" t="s">
        <v>589</v>
      </c>
      <c r="C23" s="762"/>
      <c r="D23" s="380" t="str">
        <f>Vertragsart</f>
        <v>Basic</v>
      </c>
      <c r="E23" s="1"/>
      <c r="F23" s="743" t="s">
        <v>618</v>
      </c>
      <c r="G23" s="744"/>
      <c r="H23" s="547"/>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row>
    <row r="24" spans="1:147">
      <c r="A24" s="1"/>
      <c r="B24" s="759" t="s">
        <v>604</v>
      </c>
      <c r="C24" s="760"/>
      <c r="D24" s="381">
        <f>Input!D19</f>
        <v>5</v>
      </c>
      <c r="E24" s="1"/>
      <c r="F24" s="745"/>
      <c r="G24" s="746"/>
      <c r="H24" s="548"/>
      <c r="I24" s="1"/>
      <c r="J24" s="1"/>
      <c r="K24" s="1"/>
      <c r="L24" s="1"/>
      <c r="M24" s="54"/>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row>
    <row r="25" spans="1:147">
      <c r="A25" s="1"/>
      <c r="B25" s="759" t="s">
        <v>588</v>
      </c>
      <c r="C25" s="760"/>
      <c r="D25" s="382">
        <f>Input!D18</f>
        <v>43466</v>
      </c>
      <c r="E25" s="1"/>
      <c r="F25" s="745"/>
      <c r="G25" s="746"/>
      <c r="H25" s="548"/>
      <c r="I25" s="1"/>
      <c r="J25" s="1"/>
      <c r="K25" s="1"/>
      <c r="L25" s="1"/>
      <c r="M25" s="54"/>
      <c r="N25" s="54"/>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row>
    <row r="26" spans="1:147" ht="15.75" thickBot="1">
      <c r="A26" s="1"/>
      <c r="B26" s="233" t="s">
        <v>605</v>
      </c>
      <c r="C26" s="234"/>
      <c r="D26" s="383">
        <v>43383</v>
      </c>
      <c r="E26" s="1"/>
      <c r="F26" s="745"/>
      <c r="G26" s="746"/>
      <c r="H26" s="546"/>
      <c r="I26" s="1"/>
      <c r="J26" s="1"/>
      <c r="K26" s="1"/>
      <c r="L26" s="1"/>
      <c r="M26" s="54"/>
      <c r="N26" s="54"/>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row>
    <row r="27" spans="1:147">
      <c r="A27" s="1"/>
      <c r="B27" s="162"/>
      <c r="C27" s="163"/>
      <c r="D27" s="76"/>
      <c r="E27" s="1"/>
      <c r="F27" s="1"/>
      <c r="G27" s="1"/>
      <c r="H27" s="1"/>
      <c r="I27" s="1"/>
      <c r="J27" s="1"/>
      <c r="K27" s="1"/>
      <c r="L27" s="1"/>
      <c r="M27" s="300"/>
      <c r="N27" s="54"/>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row>
    <row r="28" spans="1:147" ht="15.75" thickBot="1">
      <c r="A28" s="1"/>
      <c r="B28" s="434" t="s">
        <v>721</v>
      </c>
      <c r="C28" s="355" t="str">
        <f>'Cost Calculation'!AF12</f>
        <v>included</v>
      </c>
      <c r="D28" s="355">
        <f>'Cost Calculation'!AH12</f>
        <v>300</v>
      </c>
      <c r="E28" s="1"/>
      <c r="F28" s="1"/>
      <c r="G28" s="1"/>
      <c r="H28" s="272"/>
      <c r="I28" s="1"/>
      <c r="J28" s="1"/>
      <c r="K28" s="1"/>
      <c r="L28" s="1"/>
      <c r="M28" s="274"/>
      <c r="N28" s="54"/>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row>
    <row r="29" spans="1:147">
      <c r="A29" s="1"/>
      <c r="B29" s="525" t="s">
        <v>630</v>
      </c>
      <c r="C29" s="355" t="str">
        <f>'Cost Calculation'!AF13</f>
        <v xml:space="preserve">excluded </v>
      </c>
      <c r="D29" s="355">
        <f>'Cost Calculation'!AH13</f>
        <v>0</v>
      </c>
      <c r="E29" s="1"/>
      <c r="F29" s="748" t="s">
        <v>619</v>
      </c>
      <c r="G29" s="744"/>
      <c r="H29" s="547"/>
      <c r="I29" s="1"/>
      <c r="J29" s="1"/>
      <c r="K29" s="1"/>
      <c r="L29" s="54"/>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row>
    <row r="30" spans="1:147" ht="15.75" thickBot="1">
      <c r="A30" s="1"/>
      <c r="B30" s="526" t="s">
        <v>744</v>
      </c>
      <c r="C30" s="355" t="str">
        <f>'Cost Calculation'!AF14</f>
        <v xml:space="preserve">excluded </v>
      </c>
      <c r="D30" s="355">
        <f>'Cost Calculation'!AH14</f>
        <v>0</v>
      </c>
      <c r="E30" s="1"/>
      <c r="F30" s="745"/>
      <c r="G30" s="746"/>
      <c r="H30" s="548"/>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row>
    <row r="31" spans="1:147" ht="16.5" thickTop="1" thickBot="1">
      <c r="A31" s="1"/>
      <c r="B31" s="525" t="s">
        <v>767</v>
      </c>
      <c r="C31" s="355" t="str">
        <f>'Cost Calculation'!AF15</f>
        <v xml:space="preserve">excluded </v>
      </c>
      <c r="D31" s="355">
        <f>'Cost Calculation'!AH15</f>
        <v>0</v>
      </c>
      <c r="E31" s="1"/>
      <c r="F31" s="745"/>
      <c r="G31" s="746"/>
      <c r="H31" s="548"/>
      <c r="I31" s="549"/>
      <c r="J31" s="367"/>
      <c r="K31" s="367"/>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row>
    <row r="32" spans="1:147" ht="16.5" thickTop="1" thickBot="1">
      <c r="A32" s="1"/>
      <c r="B32" s="525" t="s">
        <v>625</v>
      </c>
      <c r="C32" s="355" t="str">
        <f>'Cost Calculation'!AF16</f>
        <v xml:space="preserve">excluded </v>
      </c>
      <c r="D32" s="355">
        <f>'Cost Calculation'!AH16</f>
        <v>0</v>
      </c>
      <c r="E32" s="1"/>
      <c r="F32" s="745"/>
      <c r="G32" s="746"/>
      <c r="H32" s="546"/>
      <c r="I32" s="549"/>
      <c r="J32" s="367"/>
      <c r="K32" s="367"/>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row>
    <row r="33" spans="1:146" ht="16.5" thickTop="1" thickBot="1">
      <c r="A33" s="1"/>
      <c r="B33" s="525" t="s">
        <v>622</v>
      </c>
      <c r="C33" s="355" t="str">
        <f>'Cost Calculation'!AF17</f>
        <v xml:space="preserve">excluded </v>
      </c>
      <c r="D33" s="355">
        <f>'Cost Calculation'!AH17</f>
        <v>0</v>
      </c>
      <c r="E33" s="1"/>
      <c r="F33" s="1"/>
      <c r="G33" s="1"/>
      <c r="H33" s="1"/>
      <c r="I33" s="367"/>
      <c r="J33" s="367"/>
      <c r="K33" s="367"/>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row>
    <row r="34" spans="1:146" ht="16.5" thickTop="1" thickBot="1">
      <c r="A34" s="1"/>
      <c r="B34" s="525" t="s">
        <v>621</v>
      </c>
      <c r="C34" s="355" t="str">
        <f>'Cost Calculation'!AF18</f>
        <v xml:space="preserve">excluded </v>
      </c>
      <c r="D34" s="355">
        <f>'Cost Calculation'!AH18</f>
        <v>0</v>
      </c>
      <c r="E34" s="1"/>
      <c r="F34" s="1"/>
      <c r="G34" s="1"/>
      <c r="H34" s="1"/>
      <c r="I34" s="367"/>
      <c r="J34" s="367"/>
      <c r="K34" s="367"/>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row>
    <row r="35" spans="1:146" ht="16.5" thickTop="1" thickBot="1">
      <c r="A35" s="1"/>
      <c r="B35" s="432" t="s">
        <v>623</v>
      </c>
      <c r="C35" s="355" t="str">
        <f>'Cost Calculation'!AF19</f>
        <v xml:space="preserve">excluded </v>
      </c>
      <c r="D35" s="355">
        <f>'Cost Calculation'!AH19</f>
        <v>0</v>
      </c>
      <c r="E35" s="1"/>
      <c r="F35" s="1"/>
      <c r="G35" s="1"/>
      <c r="H35" s="1"/>
      <c r="I35" s="367"/>
      <c r="J35" s="367"/>
      <c r="K35" s="367"/>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row>
    <row r="36" spans="1:146" ht="15.75" thickTop="1">
      <c r="A36" s="1"/>
      <c r="B36" s="434" t="s">
        <v>624</v>
      </c>
      <c r="C36" s="355" t="str">
        <f>'Cost Calculation'!AF20</f>
        <v xml:space="preserve">excluded </v>
      </c>
      <c r="D36" s="355">
        <f>'Cost Calculation'!AH20</f>
        <v>0</v>
      </c>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row>
    <row r="37" spans="1:146">
      <c r="A37" s="1"/>
      <c r="B37" s="432" t="s">
        <v>626</v>
      </c>
      <c r="C37" s="355" t="str">
        <f>'Cost Calculation'!AF21</f>
        <v xml:space="preserve">excluded </v>
      </c>
      <c r="D37" s="355">
        <f>'Cost Calculation'!AH21</f>
        <v>0</v>
      </c>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row>
    <row r="38" spans="1:146">
      <c r="A38" s="1"/>
      <c r="B38" s="432" t="s">
        <v>627</v>
      </c>
      <c r="C38" s="355" t="str">
        <f>'Cost Calculation'!AF22</f>
        <v xml:space="preserve">excluded </v>
      </c>
      <c r="D38" s="355">
        <f>'Cost Calculation'!AH22</f>
        <v>0</v>
      </c>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row>
    <row r="39" spans="1:146">
      <c r="A39" s="1"/>
      <c r="B39" s="432" t="s">
        <v>628</v>
      </c>
      <c r="C39" s="355" t="str">
        <f>'Cost Calculation'!AF23</f>
        <v xml:space="preserve">excluded </v>
      </c>
      <c r="D39" s="355">
        <f>'Cost Calculation'!AH23</f>
        <v>0</v>
      </c>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row>
    <row r="40" spans="1:146">
      <c r="A40" s="1"/>
      <c r="B40" s="432" t="s">
        <v>629</v>
      </c>
      <c r="C40" s="355" t="str">
        <f>'Cost Calculation'!AF24</f>
        <v xml:space="preserve">excluded </v>
      </c>
      <c r="D40" s="355">
        <f>'Cost Calculation'!AH24</f>
        <v>0</v>
      </c>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row>
    <row r="41" spans="1:146">
      <c r="A41" s="1"/>
      <c r="B41" s="398" t="s">
        <v>776</v>
      </c>
      <c r="C41" s="355" t="str">
        <f>'Cost Calculation'!AF25</f>
        <v xml:space="preserve">excluded </v>
      </c>
      <c r="D41" s="355">
        <f>'Cost Calculation'!AH25</f>
        <v>0</v>
      </c>
      <c r="E41" s="1"/>
      <c r="F41" s="1"/>
      <c r="G41" s="435"/>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row>
    <row r="42" spans="1:146">
      <c r="A42" s="1"/>
      <c r="B42" s="525" t="s">
        <v>802</v>
      </c>
      <c r="C42" s="355">
        <f>'Cost Calculation'!AF26</f>
        <v>500</v>
      </c>
      <c r="D42" s="355">
        <f>'Cost Calculation'!AH26</f>
        <v>500</v>
      </c>
      <c r="E42" s="1"/>
      <c r="F42" s="1"/>
      <c r="G42" s="435"/>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row>
    <row r="43" spans="1:146">
      <c r="A43" s="1"/>
      <c r="B43" s="432" t="s">
        <v>803</v>
      </c>
      <c r="C43" s="355">
        <f>'Cost Calculation'!AF27</f>
        <v>200</v>
      </c>
      <c r="D43" s="355">
        <f>'Cost Calculation'!AH27</f>
        <v>200</v>
      </c>
      <c r="E43" s="1"/>
      <c r="F43" s="1"/>
      <c r="G43" s="550"/>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row>
    <row r="44" spans="1:146" s="523" customFormat="1">
      <c r="A44" s="1"/>
      <c r="B44" s="398" t="s">
        <v>804</v>
      </c>
      <c r="C44" s="355">
        <f>'Cost Calculation'!AF28</f>
        <v>100</v>
      </c>
      <c r="D44" s="355">
        <f>'Cost Calculation'!AH28</f>
        <v>100</v>
      </c>
      <c r="E44" s="1"/>
      <c r="F44" s="1"/>
      <c r="G44" s="550"/>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row>
    <row r="45" spans="1:146" s="523" customFormat="1">
      <c r="A45" s="1"/>
      <c r="B45" s="432" t="s">
        <v>713</v>
      </c>
      <c r="C45" s="355">
        <f>'Cost Calculation'!AF29</f>
        <v>0</v>
      </c>
      <c r="D45" s="355">
        <f>'Cost Calculation'!AH29</f>
        <v>0</v>
      </c>
      <c r="E45" s="1"/>
      <c r="F45" s="1"/>
      <c r="G45" s="550"/>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row>
    <row r="46" spans="1:146">
      <c r="A46" s="1"/>
      <c r="B46" s="432" t="s">
        <v>768</v>
      </c>
      <c r="C46" s="355">
        <f>'Cost Calculation'!AF30</f>
        <v>0</v>
      </c>
      <c r="D46" s="373">
        <f>'Cost Calculation'!AH30</f>
        <v>0</v>
      </c>
      <c r="E46" s="1"/>
      <c r="F46" s="1"/>
      <c r="G46" s="435"/>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row>
    <row r="47" spans="1:146">
      <c r="A47" s="1"/>
      <c r="B47" s="366" t="s">
        <v>796</v>
      </c>
      <c r="C47" s="355"/>
      <c r="D47" s="373">
        <f>'Cost Calculation'!AH31</f>
        <v>1100</v>
      </c>
      <c r="E47" s="1"/>
      <c r="F47" s="1"/>
      <c r="G47" s="435"/>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row>
    <row r="48" spans="1:146" ht="18.75">
      <c r="A48" s="1"/>
      <c r="B48" s="161" t="s">
        <v>606</v>
      </c>
      <c r="C48" s="1"/>
      <c r="D48" s="76"/>
      <c r="E48" s="1"/>
      <c r="F48" s="1"/>
      <c r="G48" s="435"/>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row>
    <row r="49" spans="1:146">
      <c r="A49" s="1"/>
      <c r="B49" s="757" t="s">
        <v>607</v>
      </c>
      <c r="C49" s="758"/>
      <c r="D49" s="368">
        <f>Input!G12</f>
        <v>100</v>
      </c>
      <c r="E49" s="1"/>
      <c r="F49" s="1"/>
      <c r="G49" s="435"/>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row>
    <row r="50" spans="1:146">
      <c r="A50" s="1"/>
      <c r="B50" s="751" t="s">
        <v>609</v>
      </c>
      <c r="C50" s="752"/>
      <c r="D50" s="369">
        <f>'Cost Calculation'!C67</f>
        <v>30</v>
      </c>
      <c r="E50" s="1"/>
      <c r="F50" s="1"/>
      <c r="G50" s="54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row>
    <row r="51" spans="1:146">
      <c r="A51" s="1"/>
      <c r="B51" s="751" t="s">
        <v>610</v>
      </c>
      <c r="C51" s="752"/>
      <c r="D51" s="370">
        <f>SUM('Cost Calculation'!C5:C14)</f>
        <v>10</v>
      </c>
      <c r="E51" s="1"/>
      <c r="F51" s="1"/>
      <c r="G51" s="435"/>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row>
    <row r="52" spans="1:146">
      <c r="A52" s="1"/>
      <c r="B52" s="763" t="s">
        <v>611</v>
      </c>
      <c r="C52" s="764"/>
      <c r="D52" s="371">
        <f>'Cost Calculation'!I6</f>
        <v>1</v>
      </c>
      <c r="E52" s="1"/>
      <c r="F52" s="1"/>
      <c r="G52" s="54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row>
    <row r="53" spans="1:146" ht="15.75" thickBot="1">
      <c r="A53" s="1"/>
      <c r="B53" s="162"/>
      <c r="C53" s="163"/>
      <c r="D53" s="372"/>
      <c r="E53" s="1"/>
      <c r="F53" s="1"/>
      <c r="G53" s="54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row>
    <row r="54" spans="1:146" ht="18.75">
      <c r="A54" s="1"/>
      <c r="B54" s="749" t="s">
        <v>573</v>
      </c>
      <c r="C54" s="750"/>
      <c r="D54" s="372"/>
      <c r="E54" s="1"/>
      <c r="F54" s="1"/>
      <c r="G54" s="54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row>
    <row r="55" spans="1:146">
      <c r="A55" s="1"/>
      <c r="B55" s="747" t="s">
        <v>92</v>
      </c>
      <c r="C55" s="747"/>
      <c r="D55" s="373">
        <f>IF(D20=HelpInput!P5,'Output centralized'!E10,'Output decentralized'!E10)</f>
        <v>0</v>
      </c>
      <c r="E55" s="1"/>
      <c r="F55" s="1"/>
      <c r="G55" s="54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row>
    <row r="56" spans="1:146">
      <c r="A56" s="1"/>
      <c r="B56" s="747" t="s">
        <v>93</v>
      </c>
      <c r="C56" s="747"/>
      <c r="D56" s="373">
        <f>IF(D20=HelpInput!P5,'Output centralized'!F10,'Output decentralized'!F10)</f>
        <v>0</v>
      </c>
      <c r="E56" s="1"/>
      <c r="F56" s="1"/>
      <c r="G56" s="550"/>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row>
    <row r="57" spans="1:146">
      <c r="A57" s="1"/>
      <c r="B57" s="747" t="s">
        <v>194</v>
      </c>
      <c r="C57" s="747"/>
      <c r="D57" s="373">
        <f>IF(D20=HelpInput!P5,'Output centralized'!G10,'Output decentralized'!G10)</f>
        <v>0</v>
      </c>
      <c r="E57" s="1"/>
      <c r="F57" s="1"/>
      <c r="G57" s="54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row>
    <row r="58" spans="1:146">
      <c r="A58" s="1"/>
      <c r="B58" s="747" t="s">
        <v>94</v>
      </c>
      <c r="C58" s="747"/>
      <c r="D58" s="373">
        <f>IF(D20=HelpInput!P5,'Output centralized'!H10,'Output decentralized'!H10)</f>
        <v>0</v>
      </c>
      <c r="E58" s="1"/>
      <c r="F58" s="1"/>
      <c r="G58" s="54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row>
    <row r="59" spans="1:146">
      <c r="A59" s="1"/>
      <c r="B59" s="747" t="s">
        <v>95</v>
      </c>
      <c r="C59" s="747"/>
      <c r="D59" s="373">
        <f>IF(D20=HelpInput!P5,'Output centralized'!I10,'Output decentralized'!I10)</f>
        <v>0</v>
      </c>
      <c r="E59" s="1"/>
      <c r="F59" s="1"/>
      <c r="G59" s="54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row>
    <row r="60" spans="1:146">
      <c r="A60" s="1"/>
      <c r="B60" s="747" t="s">
        <v>96</v>
      </c>
      <c r="C60" s="747"/>
      <c r="D60" s="373">
        <f>IF(D20=HelpInput!P5,'Output centralized'!J10,'Output decentralized'!J10)</f>
        <v>0</v>
      </c>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row>
    <row r="61" spans="1:146">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row>
    <row r="62" spans="1:146">
      <c r="A62" s="1"/>
      <c r="B62" s="753" t="s">
        <v>612</v>
      </c>
      <c r="C62" s="754"/>
      <c r="D62" s="355" t="str">
        <f>Input!D31</f>
        <v>Alfredo Del Tiempo Pina</v>
      </c>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row>
    <row r="63" spans="1:146">
      <c r="A63" s="1"/>
      <c r="B63" s="753" t="s">
        <v>794</v>
      </c>
      <c r="C63" s="754"/>
      <c r="D63" s="606">
        <f>Input!D38</f>
        <v>0</v>
      </c>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row>
    <row r="64" spans="1:146">
      <c r="A64" s="1"/>
      <c r="B64" s="247"/>
      <c r="C64" s="247"/>
      <c r="D64" s="247"/>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row>
    <row r="65" spans="1:146">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row>
    <row r="66" spans="1:14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row>
    <row r="67" spans="1:146">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row>
    <row r="68" spans="1:146">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row>
    <row r="69" spans="1:146">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row>
    <row r="70" spans="1:146">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row>
    <row r="71" spans="1:146">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row>
    <row r="72" spans="1:146">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row>
    <row r="73" spans="1:146">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row>
    <row r="74" spans="1:146">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row>
    <row r="75" spans="1:146">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row>
    <row r="76" spans="1:14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row>
    <row r="77" spans="1:146">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row>
    <row r="78" spans="1:146">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row>
    <row r="79" spans="1:146">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row>
    <row r="80" spans="1:146">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row>
    <row r="81" spans="1:146">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row>
    <row r="82" spans="1:146">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row>
    <row r="83" spans="1:146">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row>
    <row r="84" spans="1:146">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row>
    <row r="85" spans="1:146">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row>
    <row r="86" spans="1:14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row>
    <row r="87" spans="1:146">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row>
    <row r="88" spans="1:146">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row>
    <row r="89" spans="1:146">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row>
    <row r="90" spans="1:146">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row>
    <row r="91" spans="1:146">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row>
    <row r="92" spans="1:146">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row>
    <row r="93" spans="1:146">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row>
    <row r="94" spans="1:146">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row>
    <row r="95" spans="1:146">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row>
    <row r="96" spans="1:14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row>
    <row r="97" spans="1:146">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row>
    <row r="98" spans="1:146">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row>
    <row r="99" spans="1:146">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row>
    <row r="100" spans="1:14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row>
    <row r="101" spans="1:14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row>
    <row r="102" spans="1:14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row>
    <row r="103" spans="1:14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row>
    <row r="104" spans="1:14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row>
    <row r="105" spans="1:14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row>
    <row r="106" spans="1:14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row>
    <row r="107" spans="1:14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row>
    <row r="108" spans="1:14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row>
    <row r="109" spans="1:14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row>
    <row r="110" spans="1:14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row>
    <row r="111" spans="1:14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row>
    <row r="112" spans="1:14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row>
    <row r="113" spans="1:14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row>
    <row r="114" spans="1:14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row>
    <row r="115" spans="1:14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row>
    <row r="116" spans="1:14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row>
    <row r="117" spans="1:14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row>
    <row r="118" spans="1:14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row>
    <row r="119" spans="1:14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row>
    <row r="120" spans="1:14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row>
    <row r="121" spans="1:14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row>
    <row r="122" spans="1:14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row>
    <row r="123" spans="1:14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row>
    <row r="124" spans="1:14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row>
    <row r="125" spans="1:14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row>
    <row r="126" spans="1:14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row>
    <row r="127" spans="1:14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row>
    <row r="128" spans="1:14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row>
    <row r="129" spans="1:14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row>
    <row r="130" spans="1:14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row>
    <row r="131" spans="1:14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row>
    <row r="132" spans="1:14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row>
    <row r="133" spans="1:14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row>
    <row r="134" spans="1:14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row>
    <row r="135" spans="1:14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row>
    <row r="136" spans="1:14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row>
    <row r="137" spans="1:14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row>
    <row r="138" spans="1:14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row>
    <row r="139" spans="1:14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row>
    <row r="140" spans="1:14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row>
    <row r="141" spans="1:14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row>
    <row r="142" spans="1:14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row>
    <row r="143" spans="1:14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row>
    <row r="144" spans="1:14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row>
    <row r="145" spans="1:14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row>
    <row r="146" spans="1: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row>
    <row r="147" spans="1:14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row>
    <row r="148" spans="1:14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row>
    <row r="149" spans="1:14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row>
    <row r="150" spans="1:14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row>
    <row r="151" spans="1:14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row>
    <row r="152" spans="1:14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row>
    <row r="153" spans="1:14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row>
    <row r="154" spans="1:14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row>
    <row r="155" spans="1:14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row>
    <row r="156" spans="1:14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row>
    <row r="157" spans="1:14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row>
    <row r="158" spans="1:14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row>
    <row r="159" spans="1:14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row>
    <row r="160" spans="1:14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row>
    <row r="161" spans="1:14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row>
    <row r="162" spans="1:14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row>
    <row r="163" spans="1:14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row>
    <row r="164" spans="1:14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row>
    <row r="165" spans="1:146">
      <c r="A165" s="1"/>
      <c r="B165" s="1"/>
      <c r="C165" s="1"/>
      <c r="D165" s="1"/>
      <c r="E165" s="1"/>
      <c r="F165" s="1"/>
      <c r="G165" s="1"/>
      <c r="I165" s="1"/>
      <c r="J165" s="1"/>
      <c r="K165" s="1"/>
      <c r="L165" s="1"/>
    </row>
    <row r="166" spans="1:146">
      <c r="A166" s="1"/>
      <c r="B166" s="1"/>
      <c r="C166" s="1"/>
      <c r="D166" s="1"/>
      <c r="E166" s="1"/>
      <c r="J166" s="1"/>
    </row>
    <row r="167" spans="1:146">
      <c r="B167" s="1"/>
      <c r="C167" s="1"/>
      <c r="D167" s="1"/>
    </row>
    <row r="168" spans="1:146">
      <c r="B168" s="1"/>
      <c r="C168" s="1"/>
      <c r="D168" s="1"/>
    </row>
    <row r="169" spans="1:146">
      <c r="B169" s="1"/>
      <c r="C169" s="1"/>
      <c r="D169" s="1"/>
    </row>
    <row r="170" spans="1:146">
      <c r="B170" s="1"/>
      <c r="C170" s="1"/>
      <c r="D170" s="1"/>
    </row>
    <row r="171" spans="1:146">
      <c r="B171" s="1"/>
      <c r="C171" s="1"/>
      <c r="D171" s="1"/>
    </row>
    <row r="172" spans="1:146">
      <c r="B172" s="1"/>
      <c r="C172" s="1"/>
      <c r="D172" s="1"/>
    </row>
    <row r="173" spans="1:146">
      <c r="B173" s="1"/>
      <c r="C173" s="1"/>
    </row>
    <row r="174" spans="1:146">
      <c r="B174" s="1"/>
      <c r="C174" s="1"/>
    </row>
    <row r="175" spans="1:146">
      <c r="B175" s="1"/>
      <c r="C175" s="1"/>
    </row>
  </sheetData>
  <sheetProtection algorithmName="SHA-512" hashValue="bcFLC/vumMcCaZTbyUWCvn5kjQPss8fXpQ1AEVYQZgP9WJGkNwRVluwbDx5H/dV7RFKEJiYJ1O2jwGZwh9qe3g==" saltValue="z85lhQAMXHXlCdXcUBG5Dg==" spinCount="100000" sheet="1" objects="1" scenarios="1"/>
  <mergeCells count="26">
    <mergeCell ref="B63:C63"/>
    <mergeCell ref="A1:M2"/>
    <mergeCell ref="J5:K5"/>
    <mergeCell ref="J6:K6"/>
    <mergeCell ref="J7:K7"/>
    <mergeCell ref="B62:C62"/>
    <mergeCell ref="B50:C50"/>
    <mergeCell ref="B49:C49"/>
    <mergeCell ref="B25:C25"/>
    <mergeCell ref="B23:C23"/>
    <mergeCell ref="B24:C24"/>
    <mergeCell ref="B60:C60"/>
    <mergeCell ref="B59:C59"/>
    <mergeCell ref="B52:C52"/>
    <mergeCell ref="B55:C55"/>
    <mergeCell ref="B56:C56"/>
    <mergeCell ref="B57:C57"/>
    <mergeCell ref="F29:G32"/>
    <mergeCell ref="B54:C54"/>
    <mergeCell ref="B51:C51"/>
    <mergeCell ref="B58:C58"/>
    <mergeCell ref="J8:K8"/>
    <mergeCell ref="F5:G8"/>
    <mergeCell ref="F11:G14"/>
    <mergeCell ref="F17:G20"/>
    <mergeCell ref="F23:G26"/>
  </mergeCells>
  <conditionalFormatting sqref="G41">
    <cfRule type="expression" dxfId="156" priority="12">
      <formula>OR($D$17="Basic",$D$17="Basic +",$D$17="VWoGK",$D$17="VWmGK",$D$17="VWmGKR",$D$17="VVW")</formula>
    </cfRule>
  </conditionalFormatting>
  <conditionalFormatting sqref="G42:G48">
    <cfRule type="expression" dxfId="155" priority="11">
      <formula>OR($D$17="VWmGKR",$D$17="VVW")</formula>
    </cfRule>
  </conditionalFormatting>
  <conditionalFormatting sqref="G41:G47">
    <cfRule type="expression" dxfId="154" priority="10">
      <formula>$D$17="VWmGK"</formula>
    </cfRule>
  </conditionalFormatting>
  <conditionalFormatting sqref="G41:G49">
    <cfRule type="expression" dxfId="153" priority="9">
      <formula>$D$17="VVW"</formula>
    </cfRule>
  </conditionalFormatting>
  <conditionalFormatting sqref="B28">
    <cfRule type="expression" dxfId="152" priority="8">
      <formula>OR($D$17="Basic",$D$17="Basic +",$D$17="VWoGK",$D$17="VWmGK",$D$17="VWmGKR",$D$17="VVW")</formula>
    </cfRule>
  </conditionalFormatting>
  <conditionalFormatting sqref="B29:B30">
    <cfRule type="expression" dxfId="151" priority="7">
      <formula>OR($D$17="VWmGKR",$D$17="VVW")</formula>
    </cfRule>
  </conditionalFormatting>
  <conditionalFormatting sqref="B28:B30">
    <cfRule type="expression" dxfId="150" priority="6">
      <formula>$D$17="VWmGK"</formula>
    </cfRule>
  </conditionalFormatting>
  <conditionalFormatting sqref="B28:B30">
    <cfRule type="expression" dxfId="149" priority="5">
      <formula>$D$17="VVW"</formula>
    </cfRule>
  </conditionalFormatting>
  <conditionalFormatting sqref="B31:B33">
    <cfRule type="expression" dxfId="148" priority="4">
      <formula>OR($D$17="VWmGKR",$D$17="VVW")</formula>
    </cfRule>
  </conditionalFormatting>
  <conditionalFormatting sqref="B31:B32">
    <cfRule type="expression" dxfId="147" priority="3">
      <formula>$D$17="VWmGK"</formula>
    </cfRule>
  </conditionalFormatting>
  <conditionalFormatting sqref="B31:B34">
    <cfRule type="expression" dxfId="146" priority="2">
      <formula>$D$17="VVW"</formula>
    </cfRule>
  </conditionalFormatting>
  <conditionalFormatting sqref="B42">
    <cfRule type="expression" dxfId="145" priority="1">
      <formula>$D$17="VVW"</formula>
    </cfRule>
  </conditionalFormatting>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HelpInput!$P$4:$P$5</xm:f>
          </x14:formula1>
          <xm:sqref>D20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8"/>
  <dimension ref="A1:G107"/>
  <sheetViews>
    <sheetView topLeftCell="A31" zoomScale="56" zoomScaleNormal="70" workbookViewId="0">
      <selection activeCell="I108" sqref="I108"/>
    </sheetView>
  </sheetViews>
  <sheetFormatPr baseColWidth="10" defaultRowHeight="15"/>
  <cols>
    <col min="1" max="1" width="41.140625" customWidth="1"/>
    <col min="2" max="2" width="48.5703125" customWidth="1"/>
    <col min="7" max="7" width="11.42578125" style="23"/>
  </cols>
  <sheetData>
    <row r="1" spans="1:7">
      <c r="A1" s="766" t="s">
        <v>559</v>
      </c>
      <c r="B1" s="766"/>
      <c r="C1" s="282"/>
      <c r="D1" s="282"/>
      <c r="E1" s="282"/>
      <c r="F1" s="282"/>
      <c r="G1" s="278"/>
    </row>
    <row r="3" spans="1:7">
      <c r="A3" s="765" t="str">
        <f>'Executive Summary'!B4</f>
        <v>Costumer</v>
      </c>
      <c r="B3" s="765"/>
    </row>
    <row r="4" spans="1:7">
      <c r="A4" t="str">
        <f>'Executive Summary'!B5</f>
        <v>Name:</v>
      </c>
      <c r="B4" s="275" t="str">
        <f>'Executive Summary'!D5</f>
        <v>Encavis</v>
      </c>
    </row>
    <row r="5" spans="1:7">
      <c r="A5" t="str">
        <f>'Executive Summary'!B6</f>
        <v>Contract Person:</v>
      </c>
      <c r="B5" s="397" t="str">
        <f>'Executive Summary'!D6</f>
        <v>Haron Hassani</v>
      </c>
    </row>
    <row r="6" spans="1:7">
      <c r="A6" t="str">
        <f>'Executive Summary'!B7</f>
        <v>Adress Street, House Number:</v>
      </c>
      <c r="B6" s="275" t="str">
        <f>'Executive Summary'!D7</f>
        <v>Hauptstraße 1</v>
      </c>
    </row>
    <row r="7" spans="1:7">
      <c r="A7" t="str">
        <f>'Executive Summary'!B8</f>
        <v>Postal Code, City:</v>
      </c>
      <c r="B7" s="275" t="str">
        <f>'Executive Summary'!D8</f>
        <v>12345 Musterstadt</v>
      </c>
    </row>
    <row r="8" spans="1:7">
      <c r="A8" t="str">
        <f>'Executive Summary'!B9</f>
        <v>Country:</v>
      </c>
      <c r="B8" s="275" t="str">
        <f>'Executive Summary'!D9</f>
        <v>Germany</v>
      </c>
    </row>
    <row r="10" spans="1:7">
      <c r="A10" s="765" t="str">
        <f>'Executive Summary'!B11</f>
        <v>Windfarm</v>
      </c>
      <c r="B10" s="765"/>
    </row>
    <row r="11" spans="1:7">
      <c r="A11" t="str">
        <f>'Executive Summary'!B12</f>
        <v>Name:</v>
      </c>
      <c r="B11" s="275" t="str">
        <f>'Executive Summary'!D12</f>
        <v>Gussenstadt</v>
      </c>
    </row>
    <row r="12" spans="1:7">
      <c r="A12" t="str">
        <f>'Executive Summary'!B13</f>
        <v>WTG manufacturer:</v>
      </c>
      <c r="B12" s="275" t="str">
        <f>'Executive Summary'!D13</f>
        <v>Siemens</v>
      </c>
    </row>
    <row r="13" spans="1:7">
      <c r="A13" t="str">
        <f>'Executive Summary'!B14</f>
        <v>WTG Type</v>
      </c>
      <c r="B13" s="275" t="str">
        <f>'Executive Summary'!D14</f>
        <v>AN Bonus 2000</v>
      </c>
    </row>
    <row r="14" spans="1:7">
      <c r="A14" t="str">
        <f>'Executive Summary'!B15</f>
        <v>Number of WTG:</v>
      </c>
      <c r="B14" s="275">
        <f>'Executive Summary'!D15</f>
        <v>24</v>
      </c>
    </row>
    <row r="15" spans="1:7">
      <c r="A15" t="str">
        <f>'Executive Summary'!B16</f>
        <v>Commissioning Date:</v>
      </c>
      <c r="B15" s="301">
        <f>'Executive Summary'!D16</f>
        <v>41373</v>
      </c>
    </row>
    <row r="16" spans="1:7">
      <c r="A16" t="str">
        <f>'Executive Summary'!B17</f>
        <v>Counrty:</v>
      </c>
      <c r="B16" s="275" t="str">
        <f>'Executive Summary'!D17</f>
        <v>Germany</v>
      </c>
    </row>
    <row r="17" spans="1:7">
      <c r="A17" t="str">
        <f>'Executive Summary'!B18</f>
        <v>Region:</v>
      </c>
      <c r="B17" s="275">
        <f>'Executive Summary'!D18</f>
        <v>0</v>
      </c>
    </row>
    <row r="19" spans="1:7">
      <c r="A19" s="765" t="str">
        <f>'Executive Summary'!B22</f>
        <v>Contract</v>
      </c>
      <c r="B19" s="765"/>
    </row>
    <row r="20" spans="1:7">
      <c r="A20" t="str">
        <f>'Executive Summary'!B23</f>
        <v>Contract model:</v>
      </c>
      <c r="B20" s="275" t="str">
        <f>'Executive Summary'!D23</f>
        <v>Basic</v>
      </c>
    </row>
    <row r="21" spans="1:7">
      <c r="A21" t="str">
        <f>'Executive Summary'!B24</f>
        <v>Duration:</v>
      </c>
      <c r="B21" s="275">
        <f>'Executive Summary'!D24</f>
        <v>5</v>
      </c>
    </row>
    <row r="22" spans="1:7">
      <c r="A22" t="str">
        <f>'Executive Summary'!B25</f>
        <v>Commencement date:</v>
      </c>
      <c r="B22" s="301">
        <f>'Executive Summary'!D25</f>
        <v>43466</v>
      </c>
    </row>
    <row r="23" spans="1:7">
      <c r="A23" t="str">
        <f>'Executive Summary'!B26</f>
        <v>Planned signature date:</v>
      </c>
      <c r="B23" s="301">
        <f>'Executive Summary'!D26</f>
        <v>43383</v>
      </c>
    </row>
    <row r="24" spans="1:7">
      <c r="A24" t="str">
        <f>'Cost Calculation'!AE12</f>
        <v>24/7 Control</v>
      </c>
      <c r="B24" s="275" t="str">
        <f>'Cost Calculation'!AF12</f>
        <v>included</v>
      </c>
      <c r="F24" s="23"/>
      <c r="G24"/>
    </row>
    <row r="25" spans="1:7">
      <c r="A25" s="336" t="str">
        <f>'Cost Calculation'!AE13</f>
        <v xml:space="preserve">Gear box oil exchange </v>
      </c>
      <c r="B25" s="524" t="str">
        <f>'Cost Calculation'!AF13</f>
        <v xml:space="preserve">excluded </v>
      </c>
      <c r="F25" s="23"/>
      <c r="G25"/>
    </row>
    <row r="26" spans="1:7">
      <c r="A26" s="600" t="s">
        <v>744</v>
      </c>
      <c r="B26" s="524" t="str">
        <f>'Cost Calculation'!AF14</f>
        <v xml:space="preserve">excluded </v>
      </c>
      <c r="F26" s="23"/>
      <c r="G26"/>
    </row>
    <row r="27" spans="1:7">
      <c r="A27" s="336" t="str">
        <f>'Cost Calculation'!AE15</f>
        <v>Service lift inspection by certified body</v>
      </c>
      <c r="B27" s="524" t="str">
        <f>'Cost Calculation'!AF15</f>
        <v xml:space="preserve">excluded </v>
      </c>
      <c r="F27" s="23"/>
      <c r="G27"/>
    </row>
    <row r="28" spans="1:7">
      <c r="A28" s="336" t="str">
        <f>'Cost Calculation'!AE16</f>
        <v xml:space="preserve">Statutory inspections &amp; maintenance of safety equipment </v>
      </c>
      <c r="B28" s="524" t="str">
        <f>'Cost Calculation'!AF16</f>
        <v xml:space="preserve">excluded </v>
      </c>
      <c r="F28" s="23"/>
      <c r="G28"/>
    </row>
    <row r="29" spans="1:7">
      <c r="A29" s="336" t="str">
        <f>'Cost Calculation'!AE17</f>
        <v>Rotor blade inspection</v>
      </c>
      <c r="B29" s="524" t="str">
        <f>'Cost Calculation'!AF17</f>
        <v xml:space="preserve">excluded </v>
      </c>
      <c r="F29" s="23"/>
      <c r="G29"/>
    </row>
    <row r="30" spans="1:7">
      <c r="A30" s="336" t="str">
        <f>'Cost Calculation'!AE18</f>
        <v>Damages caused by natural forces</v>
      </c>
      <c r="B30" s="524" t="str">
        <f>'Cost Calculation'!AF18</f>
        <v xml:space="preserve">excluded </v>
      </c>
      <c r="F30" s="23"/>
      <c r="G30"/>
    </row>
    <row r="31" spans="1:7">
      <c r="A31" s="336" t="str">
        <f>'Cost Calculation'!AE19</f>
        <v>Foundation inspection</v>
      </c>
      <c r="B31" s="524" t="str">
        <f>'Cost Calculation'!AF19</f>
        <v xml:space="preserve">excluded </v>
      </c>
      <c r="F31" s="23"/>
      <c r="G31"/>
    </row>
    <row r="32" spans="1:7">
      <c r="A32" s="336" t="str">
        <f>'Cost Calculation'!AE20</f>
        <v>Gear box endoscopy</v>
      </c>
      <c r="B32" s="524" t="str">
        <f>'Cost Calculation'!AF20</f>
        <v xml:space="preserve">excluded </v>
      </c>
      <c r="F32" s="23"/>
      <c r="G32"/>
    </row>
    <row r="33" spans="1:7">
      <c r="A33" s="336" t="str">
        <f>'Cost Calculation'!AE21</f>
        <v>Recurring inspection of WTG &amp; tower</v>
      </c>
      <c r="B33" s="524" t="str">
        <f>'Cost Calculation'!AF21</f>
        <v xml:space="preserve">excluded </v>
      </c>
      <c r="F33" s="23"/>
      <c r="G33"/>
    </row>
    <row r="34" spans="1:7">
      <c r="A34" s="336" t="str">
        <f>'Cost Calculation'!AE22</f>
        <v>Electrical equipment inspection DIN IEC 60364/ DGUV V3</v>
      </c>
      <c r="B34" s="524" t="str">
        <f>'Cost Calculation'!AF22</f>
        <v xml:space="preserve">excluded </v>
      </c>
      <c r="F34" s="23"/>
      <c r="G34"/>
    </row>
    <row r="35" spans="1:7">
      <c r="A35" s="336" t="str">
        <f>'Cost Calculation'!AE23</f>
        <v>Service lift maintenance</v>
      </c>
      <c r="B35" s="524" t="str">
        <f>'Cost Calculation'!AF23</f>
        <v xml:space="preserve">excluded </v>
      </c>
      <c r="F35" s="23"/>
      <c r="G35"/>
    </row>
    <row r="36" spans="1:7">
      <c r="A36" s="336" t="str">
        <f>'Cost Calculation'!AE24</f>
        <v>AIA / ZÜS pressure equipment</v>
      </c>
      <c r="B36" s="524" t="str">
        <f>'Cost Calculation'!AF24</f>
        <v xml:space="preserve">excluded </v>
      </c>
      <c r="F36" s="23"/>
      <c r="G36"/>
    </row>
    <row r="37" spans="1:7">
      <c r="A37" s="336" t="str">
        <f>'Cost Calculation'!AE25</f>
        <v>Lattice Tower Inspection</v>
      </c>
      <c r="B37" s="524" t="str">
        <f>'Cost Calculation'!AF25</f>
        <v xml:space="preserve">excluded </v>
      </c>
      <c r="F37" s="23"/>
      <c r="G37"/>
    </row>
    <row r="38" spans="1:7">
      <c r="A38" s="523" t="str">
        <f>'Cost Calculation'!AE26</f>
        <v>Waste disposal</v>
      </c>
      <c r="B38" s="524">
        <f>'Cost Calculation'!AF26</f>
        <v>500</v>
      </c>
      <c r="F38" s="23"/>
      <c r="G38"/>
    </row>
    <row r="39" spans="1:7">
      <c r="A39" s="523" t="str">
        <f>'Cost Calculation'!AE27</f>
        <v>SCARDA Maintenance</v>
      </c>
      <c r="B39" s="524">
        <f>'Cost Calculation'!AF27</f>
        <v>200</v>
      </c>
      <c r="F39" s="23"/>
      <c r="G39"/>
    </row>
    <row r="40" spans="1:7">
      <c r="A40" s="523" t="str">
        <f>'Cost Calculation'!AE28</f>
        <v>Condition Monitoring</v>
      </c>
      <c r="B40" s="524">
        <f>'Cost Calculation'!AF28</f>
        <v>100</v>
      </c>
      <c r="F40" s="23"/>
      <c r="G40"/>
    </row>
    <row r="41" spans="1:7">
      <c r="A41" s="523" t="str">
        <f>'Cost Calculation'!AE29</f>
        <v>Free(per WTG/year):</v>
      </c>
      <c r="B41" s="524">
        <f>'Cost Calculation'!AF29</f>
        <v>0</v>
      </c>
      <c r="F41" s="23"/>
      <c r="G41"/>
    </row>
    <row r="42" spans="1:7">
      <c r="A42" s="523" t="str">
        <f>'Cost Calculation'!AE30</f>
        <v>Free (WF/contract duration):</v>
      </c>
      <c r="B42" s="524">
        <f>'Cost Calculation'!AF30</f>
        <v>0</v>
      </c>
      <c r="F42" s="23"/>
      <c r="G42"/>
    </row>
    <row r="43" spans="1:7">
      <c r="A43" s="765" t="str">
        <f>'Executive Summary'!B48</f>
        <v>Calculation assumptions</v>
      </c>
      <c r="B43" s="765"/>
    </row>
    <row r="44" spans="1:7">
      <c r="A44" s="336" t="str">
        <f>'Executive Summary'!B49</f>
        <v>Next service station:</v>
      </c>
      <c r="B44" s="302">
        <f>'Executive Summary'!D49</f>
        <v>100</v>
      </c>
    </row>
    <row r="45" spans="1:7">
      <c r="A45" s="336" t="str">
        <f>'Executive Summary'!B50</f>
        <v>Service technican hourly rate:</v>
      </c>
      <c r="B45" s="303">
        <f>'Executive Summary'!D50</f>
        <v>30</v>
      </c>
    </row>
    <row r="46" spans="1:7">
      <c r="A46" s="336" t="str">
        <f>'Executive Summary'!B51</f>
        <v>Total time for maintenance per WTG:</v>
      </c>
      <c r="B46" s="275">
        <f>'Executive Summary'!D51</f>
        <v>10</v>
      </c>
    </row>
    <row r="47" spans="1:7">
      <c r="A47" s="336" t="str">
        <f>'Executive Summary'!B52</f>
        <v>Total time for Unschedueld Maintenance per WTG:</v>
      </c>
      <c r="B47" s="275">
        <f>'Executive Summary'!D52</f>
        <v>1</v>
      </c>
    </row>
    <row r="48" spans="1:7">
      <c r="A48" s="336"/>
      <c r="B48" s="292"/>
    </row>
    <row r="49" spans="1:2">
      <c r="A49" s="336"/>
      <c r="B49" s="336"/>
    </row>
    <row r="50" spans="1:2">
      <c r="A50" s="765" t="str">
        <f>'Executive Summary'!B54</f>
        <v>MC assumptaions per duration per WTG</v>
      </c>
      <c r="B50" s="765"/>
    </row>
    <row r="51" spans="1:2">
      <c r="A51" s="336" t="str">
        <f>'Executive Summary'!B55</f>
        <v>Gearbox:</v>
      </c>
      <c r="B51" s="284">
        <f>'Executive Summary'!D55</f>
        <v>0</v>
      </c>
    </row>
    <row r="52" spans="1:2">
      <c r="A52" s="336" t="str">
        <f>'Executive Summary'!B56</f>
        <v>Generator:</v>
      </c>
      <c r="B52" s="284">
        <f>'Executive Summary'!D56</f>
        <v>0</v>
      </c>
    </row>
    <row r="53" spans="1:2">
      <c r="A53" s="336" t="str">
        <f>'Executive Summary'!B57</f>
        <v>Main Bearing &amp; Shaft</v>
      </c>
      <c r="B53" s="284">
        <f>'Executive Summary'!D57</f>
        <v>0</v>
      </c>
    </row>
    <row r="54" spans="1:2">
      <c r="A54" s="336" t="str">
        <f>'Executive Summary'!B58</f>
        <v>Transformer:</v>
      </c>
      <c r="B54" s="284">
        <f>'Executive Summary'!D58</f>
        <v>0</v>
      </c>
    </row>
    <row r="55" spans="1:2">
      <c r="A55" s="336" t="str">
        <f>'Executive Summary'!B59</f>
        <v>Blade Bearing:</v>
      </c>
      <c r="B55" s="284">
        <f>'Executive Summary'!D59</f>
        <v>0</v>
      </c>
    </row>
    <row r="56" spans="1:2">
      <c r="A56" s="336" t="str">
        <f>'Executive Summary'!B60</f>
        <v>Yaw Gearbox:</v>
      </c>
      <c r="B56" s="284">
        <f>'Executive Summary'!D60</f>
        <v>0</v>
      </c>
    </row>
    <row r="58" spans="1:2">
      <c r="A58" s="336"/>
      <c r="B58" s="275"/>
    </row>
    <row r="59" spans="1:2">
      <c r="A59" s="336"/>
      <c r="B59" s="336"/>
    </row>
    <row r="60" spans="1:2">
      <c r="A60" s="765" t="str">
        <f>'Executive Summary'!F4</f>
        <v>Special features of the contract</v>
      </c>
      <c r="B60" s="765"/>
    </row>
    <row r="61" spans="1:2">
      <c r="A61" s="336" t="str">
        <f>'Executive Summary'!F5</f>
        <v>Deviations from standard</v>
      </c>
      <c r="B61" s="275" t="str">
        <f>IF('Executive Summary'!H5=0,"",'Executive Summary'!H5)</f>
        <v/>
      </c>
    </row>
    <row r="62" spans="1:2">
      <c r="A62" s="336"/>
      <c r="B62" s="524" t="str">
        <f>IF('Executive Summary'!H6=0,"",'Executive Summary'!H6)</f>
        <v/>
      </c>
    </row>
    <row r="63" spans="1:2">
      <c r="A63" s="336"/>
      <c r="B63" s="524" t="str">
        <f>IF('Executive Summary'!H7=0,"",'Executive Summary'!H7)</f>
        <v/>
      </c>
    </row>
    <row r="64" spans="1:2">
      <c r="A64" s="336"/>
      <c r="B64" s="349" t="str">
        <f>IF('Executive Summary'!H8=0,"",'Executive Summary'!H8)</f>
        <v/>
      </c>
    </row>
    <row r="65" spans="1:2">
      <c r="A65" s="336"/>
      <c r="B65" s="275"/>
    </row>
    <row r="66" spans="1:2">
      <c r="A66" s="336" t="str">
        <f>'Executive Summary'!F11</f>
        <v>Scope of supply</v>
      </c>
      <c r="B66" s="543" t="str">
        <f>IF('Executive Summary'!H11=0,"",'Executive Summary'!H11)</f>
        <v/>
      </c>
    </row>
    <row r="67" spans="1:2">
      <c r="A67" s="336"/>
      <c r="B67" s="542" t="str">
        <f>IF('Executive Summary'!H12=0,"",'Executive Summary'!H12)</f>
        <v/>
      </c>
    </row>
    <row r="68" spans="1:2">
      <c r="A68" s="336"/>
      <c r="B68" s="542" t="str">
        <f>IF('Executive Summary'!H13=0,"",'Executive Summary'!H13)</f>
        <v/>
      </c>
    </row>
    <row r="69" spans="1:2">
      <c r="A69" s="336"/>
      <c r="B69" s="349" t="str">
        <f>IF('Executive Summary'!H14=0,"",'Executive Summary'!H14)</f>
        <v/>
      </c>
    </row>
    <row r="70" spans="1:2">
      <c r="A70" s="336"/>
      <c r="B70" s="275"/>
    </row>
    <row r="71" spans="1:2">
      <c r="A71" s="336"/>
      <c r="B71" s="275"/>
    </row>
    <row r="72" spans="1:2">
      <c r="A72" s="336" t="str">
        <f>'Executive Summary'!F17</f>
        <v>Needed intercompany services</v>
      </c>
      <c r="B72" s="349" t="str">
        <f>IF('Executive Summary'!H17=0,"",'Executive Summary'!H17)</f>
        <v/>
      </c>
    </row>
    <row r="73" spans="1:2">
      <c r="A73" s="336"/>
      <c r="B73" s="349" t="str">
        <f>IF('Executive Summary'!H18=0,"",'Executive Summary'!H18)</f>
        <v/>
      </c>
    </row>
    <row r="74" spans="1:2">
      <c r="A74" s="336"/>
      <c r="B74" s="349" t="str">
        <f>IF('Executive Summary'!H19=0,"",'Executive Summary'!H19)</f>
        <v/>
      </c>
    </row>
    <row r="75" spans="1:2">
      <c r="A75" s="336"/>
      <c r="B75" s="349" t="str">
        <f>IF('Executive Summary'!H20=0,"",'Executive Summary'!H20)</f>
        <v/>
      </c>
    </row>
    <row r="76" spans="1:2">
      <c r="A76" s="336"/>
      <c r="B76" s="275"/>
    </row>
    <row r="77" spans="1:2">
      <c r="A77" s="336"/>
      <c r="B77" s="275"/>
    </row>
    <row r="78" spans="1:2">
      <c r="A78" s="336" t="str">
        <f>'Executive Summary'!F23</f>
        <v>Important for contract</v>
      </c>
      <c r="B78" s="349" t="str">
        <f>IF('Executive Summary'!H23=0,"",'Executive Summary'!H23)</f>
        <v/>
      </c>
    </row>
    <row r="79" spans="1:2">
      <c r="A79" s="336"/>
      <c r="B79" s="349" t="str">
        <f>IF('Executive Summary'!H24=0,"",'Executive Summary'!H24)</f>
        <v/>
      </c>
    </row>
    <row r="80" spans="1:2">
      <c r="A80" s="336"/>
      <c r="B80" s="349" t="str">
        <f>IF('Executive Summary'!H25=0,"",'Executive Summary'!H25)</f>
        <v/>
      </c>
    </row>
    <row r="81" spans="1:2">
      <c r="A81" s="336"/>
      <c r="B81" s="349" t="str">
        <f>IF('Executive Summary'!H26=0,"",'Executive Summary'!H26)</f>
        <v/>
      </c>
    </row>
    <row r="82" spans="1:2">
      <c r="A82" s="336"/>
      <c r="B82" s="275"/>
    </row>
    <row r="83" spans="1:2">
      <c r="A83" s="336"/>
      <c r="B83" s="275"/>
    </row>
    <row r="84" spans="1:2">
      <c r="A84" s="336" t="str">
        <f>'Executive Summary'!F29</f>
        <v>Extraordinary risks /
Commercially important topics</v>
      </c>
      <c r="B84" s="349" t="str">
        <f>IF('Executive Summary'!H29=0,"",'Executive Summary'!H29)</f>
        <v/>
      </c>
    </row>
    <row r="85" spans="1:2">
      <c r="A85" s="336"/>
      <c r="B85" s="349" t="str">
        <f>IF('Executive Summary'!H30=0,"",'Executive Summary'!H30)</f>
        <v/>
      </c>
    </row>
    <row r="86" spans="1:2">
      <c r="A86" s="336"/>
      <c r="B86" s="349" t="str">
        <f>IF('Executive Summary'!H31=0,"",'Executive Summary'!H31)</f>
        <v/>
      </c>
    </row>
    <row r="87" spans="1:2">
      <c r="A87" s="336"/>
      <c r="B87" s="349" t="str">
        <f>IF('Executive Summary'!H32=0,"",'Executive Summary'!H32)</f>
        <v/>
      </c>
    </row>
    <row r="88" spans="1:2">
      <c r="A88" s="336" t="s">
        <v>612</v>
      </c>
      <c r="B88" s="275" t="str">
        <f>'Executive Summary'!D62</f>
        <v>Alfredo Del Tiempo Pina</v>
      </c>
    </row>
    <row r="89" spans="1:2">
      <c r="A89" s="336" t="s">
        <v>795</v>
      </c>
      <c r="B89" s="275">
        <f>'Executive Summary'!D63</f>
        <v>0</v>
      </c>
    </row>
    <row r="90" spans="1:2">
      <c r="A90" s="336"/>
      <c r="B90" s="275"/>
    </row>
    <row r="91" spans="1:2">
      <c r="A91" s="765" t="str">
        <f>'Executive Summary'!J4</f>
        <v>Calculation Result</v>
      </c>
      <c r="B91" s="765"/>
    </row>
    <row r="92" spans="1:2">
      <c r="A92" s="336" t="s">
        <v>649</v>
      </c>
      <c r="B92" s="275" t="str">
        <f>'Executive Summary'!D20</f>
        <v>Dezentral</v>
      </c>
    </row>
    <row r="93" spans="1:2">
      <c r="A93" s="336" t="str">
        <f>'Executive Summary'!J5</f>
        <v>Costs per WTG:</v>
      </c>
      <c r="B93" s="286">
        <f ca="1">'Executive Summary'!L5</f>
        <v>2955.5933333333332</v>
      </c>
    </row>
    <row r="94" spans="1:2">
      <c r="A94" s="336" t="str">
        <f>'Executive Summary'!J6</f>
        <v>Price per WTG:</v>
      </c>
      <c r="B94" s="287">
        <f>'Executive Summary'!L6</f>
        <v>9000</v>
      </c>
    </row>
    <row r="95" spans="1:2">
      <c r="A95" s="336" t="str">
        <f>'Executive Summary'!J7</f>
        <v>Revenues per wind farm:</v>
      </c>
      <c r="B95" s="287">
        <f ca="1">'Executive Summary'!L7</f>
        <v>6226.4666666666672</v>
      </c>
    </row>
    <row r="96" spans="1:2">
      <c r="A96" s="336" t="str">
        <f>'Executive Summary'!J8</f>
        <v>Calculation margin:</v>
      </c>
      <c r="B96" s="285">
        <f ca="1">'Executive Summary'!L8</f>
        <v>1.8759030899605043</v>
      </c>
    </row>
    <row r="97" spans="1:2">
      <c r="A97" s="336" t="s">
        <v>645</v>
      </c>
      <c r="B97" s="35">
        <f>'Executive Summary'!L9</f>
        <v>0.3</v>
      </c>
    </row>
    <row r="98" spans="1:2">
      <c r="A98" s="336" t="str">
        <f>Input!B29</f>
        <v>Tool version:</v>
      </c>
      <c r="B98" s="275" t="str">
        <f>Input!D29</f>
        <v>1.1.4</v>
      </c>
    </row>
    <row r="100" spans="1:2">
      <c r="A100" s="336" t="s">
        <v>652</v>
      </c>
      <c r="B100" s="301">
        <f ca="1">TODAY()</f>
        <v>43434</v>
      </c>
    </row>
    <row r="101" spans="1:2">
      <c r="A101" s="336" t="s">
        <v>653</v>
      </c>
    </row>
    <row r="103" spans="1:2">
      <c r="B103" s="336"/>
    </row>
    <row r="107" spans="1:2">
      <c r="A107" s="336"/>
      <c r="B107" s="336"/>
    </row>
  </sheetData>
  <sheetProtection algorithmName="SHA-512" hashValue="dX8FmA62+RkfJqYlDeuzLoq63Ht8tMr4AqM2+Fl8FsyqPT56VOlEScbFd908B0EMUZ6JpzhLG0Z5yEDAigBwLg==" saltValue="OFFkUH5HZeC+CX8u3ACK7w==" spinCount="100000" sheet="1" objects="1" scenarios="1"/>
  <mergeCells count="8">
    <mergeCell ref="A91:B91"/>
    <mergeCell ref="A60:B60"/>
    <mergeCell ref="A50:B50"/>
    <mergeCell ref="A43:B43"/>
    <mergeCell ref="A1:B1"/>
    <mergeCell ref="A3:B3"/>
    <mergeCell ref="A10:B10"/>
    <mergeCell ref="A19:B19"/>
  </mergeCells>
  <conditionalFormatting sqref="A26">
    <cfRule type="expression" dxfId="144" priority="3">
      <formula>OR($D$17="VWmGKR",$D$17="VVW")</formula>
    </cfRule>
  </conditionalFormatting>
  <conditionalFormatting sqref="A26">
    <cfRule type="expression" dxfId="143" priority="2">
      <formula>$D$17="VWmGK"</formula>
    </cfRule>
  </conditionalFormatting>
  <conditionalFormatting sqref="A26">
    <cfRule type="expression" dxfId="142" priority="1">
      <formula>$D$17="VVW"</formula>
    </cfRule>
  </conditionalFormatting>
  <pageMargins left="0.70866141732283472" right="0.70866141732283472" top="0.78740157480314965" bottom="0.78740157480314965" header="0.31496062992125984" footer="0.31496062992125984"/>
  <pageSetup paperSize="9" orientation="portrait"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71"/>
  <sheetViews>
    <sheetView showWhiteSpace="0" view="pageLayout" topLeftCell="A13" zoomScale="75" zoomScaleNormal="70" zoomScalePageLayoutView="75" workbookViewId="0">
      <selection activeCell="H25" sqref="H25:I25"/>
    </sheetView>
  </sheetViews>
  <sheetFormatPr baseColWidth="10" defaultColWidth="11.5703125" defaultRowHeight="15"/>
  <cols>
    <col min="1" max="1" width="5.42578125" style="1" customWidth="1"/>
    <col min="2" max="2" width="23.85546875" style="1" customWidth="1"/>
    <col min="3" max="3" width="22.28515625" style="1" customWidth="1"/>
    <col min="4" max="4" width="10.5703125" style="1" customWidth="1"/>
    <col min="5" max="5" width="27.28515625" style="1" customWidth="1"/>
    <col min="6" max="6" width="6.85546875" style="1" customWidth="1"/>
    <col min="7" max="7" width="4.5703125" style="1" customWidth="1"/>
    <col min="8" max="8" width="30" style="1" customWidth="1"/>
    <col min="9" max="9" width="47" style="1" customWidth="1"/>
    <col min="10" max="10" width="17" style="3" customWidth="1"/>
    <col min="11" max="16384" width="11.5703125" style="1"/>
  </cols>
  <sheetData>
    <row r="1" spans="1:14" ht="12" customHeight="1">
      <c r="A1" s="431"/>
      <c r="B1" s="431"/>
      <c r="C1" s="431"/>
      <c r="D1" s="431"/>
      <c r="E1" s="431"/>
      <c r="F1" s="431"/>
      <c r="G1" s="538"/>
      <c r="H1" s="539"/>
      <c r="I1" s="767" t="str">
        <f ca="1">IF(Input!G4="German","Stand: "&amp;TEXT(Input!D30,"TT.MM.JJJJ"),"State: "&amp;TEXT(Input!D30,"TT.MM.JJJJ"))</f>
        <v>State: 30.11.2018</v>
      </c>
      <c r="J1" s="776"/>
      <c r="K1" s="3"/>
      <c r="L1" s="793"/>
      <c r="M1" s="793"/>
      <c r="N1" s="793"/>
    </row>
    <row r="2" spans="1:14" ht="12" customHeight="1">
      <c r="A2" s="431"/>
      <c r="B2" s="431"/>
      <c r="C2" s="431"/>
      <c r="D2" s="431"/>
      <c r="E2" s="431"/>
      <c r="F2" s="431"/>
      <c r="G2" s="785" t="str">
        <f>Input!D3</f>
        <v>Encavis</v>
      </c>
      <c r="H2" s="786"/>
      <c r="I2" s="768"/>
      <c r="J2" s="777"/>
      <c r="K2" s="3"/>
      <c r="L2" s="793"/>
      <c r="M2" s="793"/>
      <c r="N2" s="793"/>
    </row>
    <row r="3" spans="1:14" ht="12" customHeight="1">
      <c r="A3" s="431"/>
      <c r="B3" s="431"/>
      <c r="C3" s="431"/>
      <c r="D3" s="431"/>
      <c r="E3" s="431"/>
      <c r="F3" s="431"/>
      <c r="G3" s="785" t="str">
        <f>IF(ISBLANK(Input!D4),"",Input!D4)</f>
        <v>Hauptstraße 1</v>
      </c>
      <c r="H3" s="786"/>
      <c r="I3" s="768" t="str">
        <f>IF(Input!G4="German","Seite 2/2","Page 2/2")</f>
        <v>Page 2/2</v>
      </c>
      <c r="J3" s="777"/>
      <c r="K3" s="3"/>
      <c r="L3" s="793"/>
      <c r="M3" s="793"/>
      <c r="N3" s="793"/>
    </row>
    <row r="4" spans="1:14" ht="12" customHeight="1" thickBot="1">
      <c r="A4" s="431"/>
      <c r="B4" s="431"/>
      <c r="C4" s="431"/>
      <c r="D4" s="431"/>
      <c r="E4" s="431"/>
      <c r="F4" s="431"/>
      <c r="G4" s="787" t="str">
        <f>IF(ISBLANK(Input!D5),Input!D6,Input!D5&amp;", "&amp;Input!D6)</f>
        <v>12345 Musterstadt, Germany</v>
      </c>
      <c r="H4" s="788"/>
      <c r="I4" s="769"/>
      <c r="J4" s="778"/>
      <c r="K4" s="3"/>
      <c r="L4" s="793"/>
      <c r="M4" s="793"/>
      <c r="N4" s="793"/>
    </row>
    <row r="5" spans="1:14" ht="8.25" customHeight="1" thickBot="1">
      <c r="A5" s="431"/>
      <c r="B5" s="431"/>
      <c r="C5" s="431"/>
      <c r="D5" s="431"/>
      <c r="E5" s="431"/>
      <c r="F5" s="431"/>
      <c r="G5" s="466"/>
      <c r="H5" s="466"/>
      <c r="I5" s="466"/>
      <c r="J5" s="467"/>
    </row>
    <row r="6" spans="1:14" ht="24" customHeight="1">
      <c r="A6" s="431"/>
      <c r="B6" s="431"/>
      <c r="C6" s="431"/>
      <c r="D6" s="431"/>
      <c r="E6" s="431"/>
      <c r="F6" s="431"/>
      <c r="G6" s="811" t="str">
        <f>IF(Input!G4="German","Angebot über Wartung und Service für den WP "&amp;Input!D9&amp;" ("&amp;Input!D11&amp;" x "&amp;Input!D12&amp;" "&amp;Input!D13&amp;", "&amp;Input!G9&amp;" m NH)","Service and Maintenance offer for WF "&amp;Input!D9&amp;" ("&amp;Input!D11&amp;" x "&amp;Input!D12&amp;" "&amp;Input!D13&amp;", "&amp;Input!G9&amp;" m HH)")</f>
        <v>Service and Maintenance offer for WF Gussenstadt (24 x Siemens AN Bonus 2000, 60 m HH)</v>
      </c>
      <c r="H6" s="812"/>
      <c r="I6" s="812"/>
      <c r="J6" s="813"/>
      <c r="K6" s="540"/>
      <c r="L6" s="540"/>
      <c r="M6" s="540"/>
      <c r="N6" s="540"/>
    </row>
    <row r="7" spans="1:14" ht="15.75" thickBot="1">
      <c r="A7" s="431"/>
      <c r="B7" s="431"/>
      <c r="C7" s="431"/>
      <c r="D7" s="431"/>
      <c r="E7" s="431"/>
      <c r="F7" s="431"/>
      <c r="G7" s="560" t="str">
        <f>IF(Input!G4="German","Laufzeit "&amp;Input!D19&amp;" Jahre - feste Vergütung","Duration "&amp;Input!D19&amp;" years - fixed remuneration")</f>
        <v>Duration 5 years - fixed remuneration</v>
      </c>
      <c r="H7" s="561"/>
      <c r="I7" s="562"/>
      <c r="J7" s="563" t="str">
        <f>IF(Vertragsart="VWmGK","VWmGKoR",IF(Vertragsart="VWmGKR","VWmGKmR",Vertragsart))</f>
        <v>Basic</v>
      </c>
      <c r="K7" s="247"/>
      <c r="L7" s="247"/>
      <c r="M7" s="247"/>
      <c r="N7" s="247"/>
    </row>
    <row r="8" spans="1:14" ht="7.5" customHeight="1" thickBot="1">
      <c r="A8" s="431"/>
      <c r="B8" s="431"/>
      <c r="C8" s="431"/>
      <c r="D8" s="431"/>
      <c r="E8" s="431"/>
      <c r="F8" s="431"/>
      <c r="G8" s="466"/>
      <c r="H8" s="466"/>
      <c r="I8" s="466"/>
      <c r="J8" s="467"/>
    </row>
    <row r="9" spans="1:14">
      <c r="A9" s="431"/>
      <c r="B9" s="431"/>
      <c r="C9" s="431"/>
      <c r="D9" s="431"/>
      <c r="E9" s="431"/>
      <c r="F9" s="431"/>
      <c r="G9" s="779" t="str">
        <f>IF(Input!G4="German","Vergütung","Remuneration")</f>
        <v>Remuneration</v>
      </c>
      <c r="H9" s="782" t="str">
        <f>IF(Input!G4="German","Preise für den weiter unten beschriebenen Leistungsumfang pro WEA und Jahr","Prices for the scope of service as described below for WEC/a")</f>
        <v>Prices for the scope of service as described below for WEC/a</v>
      </c>
      <c r="I9" s="469" t="str">
        <f>IF(ISBLANK('Output decentralized'!E37)=FALSE,IF(Input!G4="German","Betriebsjahr "&amp;'Output decentralized'!D37&amp;" - "&amp;'Output decentralized'!E37,"Year of operation "&amp;'Output decentralized'!D37&amp;" - "&amp;'Output decentralized'!E37),"")</f>
        <v>Year of operation 6 - 10</v>
      </c>
      <c r="J9" s="470">
        <f>IF('Executive Summary'!D20="Dezentral",IF('Output decentralized'!G37=0,'Output decentralized'!I30,'Output decentralized'!G37),IF('Output centralized'!G50=0,'Output centralized'!I42,'Output centralized'!G50))</f>
        <v>9000</v>
      </c>
    </row>
    <row r="10" spans="1:14">
      <c r="A10" s="431"/>
      <c r="B10" s="431"/>
      <c r="C10" s="431"/>
      <c r="D10" s="431"/>
      <c r="E10" s="431"/>
      <c r="F10" s="431"/>
      <c r="G10" s="780"/>
      <c r="H10" s="783"/>
      <c r="I10" s="471" t="str">
        <f>IF(ISBLANK('Output decentralized'!E38)=FALSE,IF(Input!G4="German","Betriebsjahr "&amp;'Output decentralized'!D38&amp;" - "&amp;'Output decentralized'!E38,"Year of operation "&amp;'Output decentralized'!D38&amp;" - "&amp;'Output decentralized'!E38),"")</f>
        <v/>
      </c>
      <c r="J10" s="472">
        <f>IF('Executive Summary'!D20="Dezentral",IF(ISBLANK('Output decentralized'!G38)=FALSE,'Output decentralized'!G38,""),IF(ISBLANK('Output centralized'!G51)=FALSE,'Output centralized'!G51,""))</f>
        <v>10000</v>
      </c>
    </row>
    <row r="11" spans="1:14">
      <c r="A11" s="431"/>
      <c r="B11" s="337"/>
      <c r="C11" s="431"/>
      <c r="D11" s="337"/>
      <c r="E11" s="337"/>
      <c r="F11" s="431"/>
      <c r="G11" s="780"/>
      <c r="H11" s="783"/>
      <c r="I11" s="471" t="str">
        <f>IF(ISBLANK('Output decentralized'!E39)=FALSE,IF(Input!G4="German","Betriebsjahr "&amp;'Output decentralized'!D39&amp;" - "&amp;'Output decentralized'!E39,"Year of operation "&amp;'Output decentralized'!D39&amp;" - "&amp;'Output decentralized'!E39),"")</f>
        <v/>
      </c>
      <c r="J11" s="472" t="str">
        <f>IF(ISBLANK('Output decentralized'!G39)=FALSE,'Output decentralized'!G39,"")</f>
        <v/>
      </c>
    </row>
    <row r="12" spans="1:14">
      <c r="A12" s="431"/>
      <c r="B12" s="337"/>
      <c r="C12" s="431"/>
      <c r="D12" s="337"/>
      <c r="E12" s="337"/>
      <c r="F12" s="431"/>
      <c r="G12" s="780"/>
      <c r="H12" s="783"/>
      <c r="I12" s="471" t="str">
        <f>IF(ISBLANK('Output decentralized'!E40)=FALSE,IF(Input!G4="German","Betriebsjahr "&amp;'Output decentralized'!D40&amp;" - "&amp;'Output decentralized'!E40,"Year of operation "&amp;'Output decentralized'!D40&amp;" - "&amp;'Output decentralized'!E40),"")</f>
        <v/>
      </c>
      <c r="J12" s="472" t="str">
        <f>IF(ISBLANK('Output decentralized'!G40)=FALSE,'Output decentralized'!G40,"")</f>
        <v/>
      </c>
    </row>
    <row r="13" spans="1:14" ht="18.75" customHeight="1">
      <c r="A13" s="431"/>
      <c r="B13" s="431" t="str">
        <f>IF(Input!G31="X-Service","Deutsche Windtechnik X-Service GmbH,","Deutsche Windtechnik Service GmbH &amp; Co. KG,")</f>
        <v>Deutsche Windtechnik Service GmbH &amp; Co. KG,</v>
      </c>
      <c r="C13" s="431"/>
      <c r="D13" s="431" t="str">
        <f>IF(Input!G4="German","Kontakt","Contact")</f>
        <v>Contact</v>
      </c>
      <c r="E13" s="536" t="str">
        <f>Input!D31</f>
        <v>Alfredo Del Tiempo Pina</v>
      </c>
      <c r="F13" s="431"/>
      <c r="G13" s="780"/>
      <c r="H13" s="783"/>
      <c r="I13" s="471" t="str">
        <f>IF(ISBLANK('Output decentralized'!E41)=FALSE,IF(Input!G4="German","Betriebsjahr "&amp;'Output decentralized'!D41&amp;" - "&amp;'Output decentralized'!E41,"Year of operation "&amp;'Output decentralized'!D41&amp;" - "&amp;'Output decentralized'!E41),"")</f>
        <v/>
      </c>
      <c r="J13" s="472" t="str">
        <f>IF(ISBLANK('Output decentralized'!G41)=FALSE,'Output decentralized'!G41,"")</f>
        <v/>
      </c>
    </row>
    <row r="14" spans="1:14" ht="19.5" customHeight="1" thickBot="1">
      <c r="A14" s="431"/>
      <c r="B14" s="431" t="str">
        <f>IF(Input!G31="X-Service","Heideweg 2-4, 49086 Osnabrück","Osterport 2e, 25872 Ostenfeld")</f>
        <v>Osterport 2e, 25872 Ostenfeld</v>
      </c>
      <c r="C14" s="431"/>
      <c r="D14" s="431" t="str">
        <f>IF(Input!G4="German","Telefon","Phone")</f>
        <v>Phone</v>
      </c>
      <c r="E14" s="536" t="str">
        <f>Input!G30</f>
        <v xml:space="preserve">+34 976 216 038 </v>
      </c>
      <c r="F14" s="431"/>
      <c r="G14" s="781"/>
      <c r="H14" s="784"/>
      <c r="I14" s="473" t="str">
        <f>IF(ISBLANK('Output decentralized'!E42)=FALSE,IF(Input!G4="German","Betriebsjahr "&amp;'Output decentralized'!D42&amp;" - "&amp;'Output decentralized'!E42,"Year of operation "&amp;'Output decentralized'!D42&amp;" - "&amp;'Output decentralized'!E42),"")</f>
        <v/>
      </c>
      <c r="J14" s="555" t="str">
        <f>IF(ISBLANK('Output decentralized'!G42)=FALSE,'Output decentralized'!G42,"")</f>
        <v/>
      </c>
    </row>
    <row r="15" spans="1:14" ht="6.75" customHeight="1" thickBot="1">
      <c r="A15" s="431"/>
      <c r="B15" s="431"/>
      <c r="C15" s="431"/>
      <c r="D15" s="337"/>
      <c r="E15" s="587"/>
      <c r="F15" s="431"/>
      <c r="G15" s="466"/>
      <c r="H15" s="466"/>
      <c r="I15" s="466"/>
      <c r="J15" s="467"/>
    </row>
    <row r="16" spans="1:14" ht="14.25" customHeight="1">
      <c r="A16" s="431"/>
      <c r="B16" s="564" t="str">
        <f>Input!D3</f>
        <v>Encavis</v>
      </c>
      <c r="C16" s="431"/>
      <c r="D16" s="431" t="str">
        <f>IF(Input!G4="German","E-Mail","Mail")</f>
        <v>Mail</v>
      </c>
      <c r="E16" s="770" t="str">
        <f>Input!G29</f>
        <v>a.deltiempo-pina@deutsche-windtechnik.com</v>
      </c>
      <c r="F16" s="431"/>
      <c r="G16" s="779" t="str">
        <f>IF(Input!G4="German","Leistungen","Services")</f>
        <v>Services</v>
      </c>
      <c r="H16" s="773" t="str">
        <f>IF(Input!G4="German","Wartungstätigkeiten nach Herstellervorgaben inklusive Betriebs- und Schmierstoffservice","Maintenance according to manufacturer's specifications inluding working materials and lubricants")</f>
        <v>Maintenance according to manufacturer's specifications inluding working materials and lubricants</v>
      </c>
      <c r="I16" s="773"/>
      <c r="J16" s="475" t="str">
        <f>IF(Input!G4="German","Inkludiert","Included")</f>
        <v>Included</v>
      </c>
    </row>
    <row r="17" spans="1:10" ht="18.75">
      <c r="A17" s="431"/>
      <c r="B17" s="564" t="str">
        <f>IF(ISBLANK(Input!G3),"",Input!G3)</f>
        <v>Haron Hassani</v>
      </c>
      <c r="C17" s="431"/>
      <c r="D17" s="431"/>
      <c r="E17" s="770"/>
      <c r="F17" s="431"/>
      <c r="G17" s="780"/>
      <c r="H17" s="801" t="str">
        <f>IF(Input!G4="German","Fernüberwachung 24/7","Remote Data monitoring 24/7")</f>
        <v>Remote Data monitoring 24/7</v>
      </c>
      <c r="I17" s="801"/>
      <c r="J17" s="476" t="str">
        <f>IF(Input!G4="German","Inkludiert","Included")</f>
        <v>Included</v>
      </c>
    </row>
    <row r="18" spans="1:10" ht="18.75">
      <c r="A18" s="431"/>
      <c r="B18" s="564" t="str">
        <f>IF(ISBLANK(Input!D4),"",Input!D4)</f>
        <v>Hauptstraße 1</v>
      </c>
      <c r="C18" s="431"/>
      <c r="D18" s="431"/>
      <c r="E18" s="536"/>
      <c r="F18" s="431"/>
      <c r="G18" s="780"/>
      <c r="H18" s="801" t="str">
        <f>IF(Input!G4="German","Technische Beratung","Technical consulting")</f>
        <v>Technical consulting</v>
      </c>
      <c r="I18" s="801"/>
      <c r="J18" s="476" t="str">
        <f>IF(Input!G4="German","Inkludiert","Included")</f>
        <v>Included</v>
      </c>
    </row>
    <row r="19" spans="1:10" ht="18.75">
      <c r="A19" s="431"/>
      <c r="B19" s="564" t="str">
        <f>IF(ISBLANK(Input!D5),"",Input!D5)</f>
        <v>12345 Musterstadt</v>
      </c>
      <c r="C19" s="431"/>
      <c r="D19" s="431" t="str">
        <f>IF(Input!G4="German","Datum","Date")</f>
        <v>Date</v>
      </c>
      <c r="E19" s="588">
        <f ca="1">TODAY()</f>
        <v>43434</v>
      </c>
      <c r="F19" s="431"/>
      <c r="G19" s="780"/>
      <c r="H19" s="785" t="str">
        <f>IF(Input!G4="German",IF(Input!H14="farm","Verfügbarkeitsgarantie","Einzelanlagenverfügbarkeitsgarantie"),IF(Input!H14="farm","Availibility Guarantee","Single turbine availability guarantee"))</f>
        <v>Availibility Guarantee</v>
      </c>
      <c r="I19" s="789"/>
      <c r="J19" s="477" t="str">
        <f>IF(Input!G14="excluded","Optional",Input!G14)</f>
        <v>Optional</v>
      </c>
    </row>
    <row r="20" spans="1:10" ht="18.75">
      <c r="A20" s="431"/>
      <c r="B20" s="564" t="str">
        <f>IF(ISBLANK(Input!D6),"",Input!D6)</f>
        <v>Germany</v>
      </c>
      <c r="C20" s="431"/>
      <c r="D20" s="431" t="str">
        <f>IF(Input!G4="German","Seite","Page")</f>
        <v>Page</v>
      </c>
      <c r="E20" s="589" t="s">
        <v>784</v>
      </c>
      <c r="F20" s="431"/>
      <c r="G20" s="780"/>
      <c r="H20" s="785" t="str">
        <f>IF(Input!G4="German","Kleinteile, Verschleißteile","Wear parts, small parts")</f>
        <v>Wear parts, small parts</v>
      </c>
      <c r="I20" s="789"/>
      <c r="J20" s="476" t="str">
        <f>IF(AND(Vertragsart&lt;&gt;"Basic",Vertragsart&lt;&gt;"Basic +"),IF(Input!G4="German","Inkludiert","Included"),"Optional")</f>
        <v>Optional</v>
      </c>
    </row>
    <row r="21" spans="1:10">
      <c r="A21" s="431"/>
      <c r="B21" s="431"/>
      <c r="C21" s="431"/>
      <c r="D21" s="431"/>
      <c r="E21" s="431"/>
      <c r="F21" s="431"/>
      <c r="G21" s="780"/>
      <c r="H21" s="785" t="str">
        <f>IF(Input!G4="German","Reparaturen ohne Ersatzteile","Repairs without spare parts")</f>
        <v>Repairs without spare parts</v>
      </c>
      <c r="I21" s="789"/>
      <c r="J21" s="476" t="str">
        <f>IF(Vertragsart&lt;&gt;"Basic",IF(Input!G4="German","Inkludiert","Included"),IF(Input!G4="German","Ausgeschlossen","Excluded"))</f>
        <v>Excluded</v>
      </c>
    </row>
    <row r="22" spans="1:10">
      <c r="A22" s="431"/>
      <c r="B22" s="431"/>
      <c r="C22" s="431"/>
      <c r="D22" s="431"/>
      <c r="E22" s="431"/>
      <c r="F22" s="431"/>
      <c r="G22" s="780"/>
      <c r="H22" s="785" t="str">
        <f>IF(Input!G4="German","Reparaturen inkl. Ersatzteile ohne Großkomponenten","Repairs incl. spare parts without large components")</f>
        <v>Repairs incl. spare parts without large components</v>
      </c>
      <c r="I22" s="789"/>
      <c r="J22" s="476" t="str">
        <f>IF(AND(Vertragsart&lt;&gt;"Basic",Vertragsart&lt;&gt;"Basic +"),IF(Input!G4="German","Inkludiert","Included"),IF(Input!G4="German","Ausgeschlossen","Excluded"))</f>
        <v>Excluded</v>
      </c>
    </row>
    <row r="23" spans="1:10">
      <c r="A23" s="431"/>
      <c r="B23" s="431"/>
      <c r="C23" s="431"/>
      <c r="D23" s="431"/>
      <c r="E23" s="431"/>
      <c r="F23" s="431"/>
      <c r="G23" s="780"/>
      <c r="H23" s="785" t="str">
        <f>IF(Input!G4="German","Reparaturen inkl. Ersatzteile mit Großkomponenten","Repairs incl. spare parts with large components")</f>
        <v>Repairs incl. spare parts with large components</v>
      </c>
      <c r="I23" s="789"/>
      <c r="J23" s="476" t="str">
        <f>IF(AND(Vertragsart&lt;&gt;"Basic",Vertragsart&lt;&gt;"VWoGK",Vertragsart&lt;&gt;"Basic +"),IF(Input!G4="German","Inkludiert","Included"),IF(Input!G4="German","Ausgeschlossen","Excluded"))</f>
        <v>Excluded</v>
      </c>
    </row>
    <row r="24" spans="1:10" ht="15.75" customHeight="1">
      <c r="A24" s="431"/>
      <c r="B24" s="771" t="str">
        <f>IF(Input!G4="German","Angebot","Offer")</f>
        <v>Offer</v>
      </c>
      <c r="C24" s="771"/>
      <c r="D24" s="771"/>
      <c r="E24" s="771"/>
      <c r="F24" s="431"/>
      <c r="G24" s="780"/>
      <c r="H24" s="785" t="str">
        <f>IF(Input!G4="German","Behebung Totalschäden","Repair of write-offs")</f>
        <v>Repair of write-offs</v>
      </c>
      <c r="I24" s="789"/>
      <c r="J24" s="476" t="str">
        <f>IF(AND(Vertragsart&lt;&gt;"Basic",Vertragsart&lt;&gt;"VWoGK",Vertragsart&lt;&gt;"Basic +"),IF(Input!G4="German","Inkludiert","Included"),IF(Input!G4="German","Ausgeschlossen","Excluded"))</f>
        <v>Excluded</v>
      </c>
    </row>
    <row r="25" spans="1:10">
      <c r="A25" s="431"/>
      <c r="B25" s="771"/>
      <c r="C25" s="771"/>
      <c r="D25" s="771"/>
      <c r="E25" s="771"/>
      <c r="F25" s="431"/>
      <c r="G25" s="780"/>
      <c r="H25" s="785" t="str">
        <f>IF(Input!G4="German","Reparaturen Rotor","Repairs of the Rotor")</f>
        <v>Repairs of the Rotor</v>
      </c>
      <c r="I25" s="789"/>
      <c r="J25" s="476" t="str">
        <f>IF(AND(Vertragsart&lt;&gt;"Basic",Vertragsart&lt;&gt;"VWoGK",Vertragsart&lt;&gt;"VWmGK",Vertragsart&lt;&gt;"Basic +"),IF(Input!G4="German","Inkludiert","Included"),IF(Input!G4="German","Ausgeschlossen","Excluded"))</f>
        <v>Excluded</v>
      </c>
    </row>
    <row r="26" spans="1:10">
      <c r="A26" s="431"/>
      <c r="B26" s="431"/>
      <c r="C26" s="431"/>
      <c r="D26" s="431"/>
      <c r="E26" s="431"/>
      <c r="F26" s="431"/>
      <c r="G26" s="780"/>
      <c r="H26" s="785" t="str">
        <f>IF(Input!G4="German","Behebung Elementarschäden","Repair of damage caused by natural forces")</f>
        <v>Repair of damage caused by natural forces</v>
      </c>
      <c r="I26" s="789"/>
      <c r="J26" s="476" t="str">
        <f>IF(Vertragsart="VVW",IF(Input!G4="German","Inkludiert","Included"),IF(Input!G4="German","Ausgeschlossen","Excluded"))</f>
        <v>Excluded</v>
      </c>
    </row>
    <row r="27" spans="1:10" ht="15.75">
      <c r="A27" s="431"/>
      <c r="B27" s="772" t="str">
        <f>IF(Input!G4="German",IF(Input!H3="m","Sehr geehrter Herr "&amp;Input!G3&amp;",","Sehr geehrte Frau "&amp;Input!G3&amp;","),IF(Input!H3="m","Dear Mr. "&amp;Input!G3&amp;",","Dear Mrs. "&amp;Input!G3&amp;","))</f>
        <v>Dear Mr. Haron Hassani,</v>
      </c>
      <c r="C27" s="772"/>
      <c r="D27" s="772"/>
      <c r="E27" s="772"/>
      <c r="F27" s="431"/>
      <c r="G27" s="780"/>
      <c r="H27" s="785" t="s">
        <v>765</v>
      </c>
      <c r="I27" s="789"/>
      <c r="J27" s="476" t="str">
        <f>IF(AND(Vertragsart&lt;&gt;"Basic",Vertragsart&lt;&gt;"Basic +"),IF(Input!G4="German","Inkludiert","Included"),IF(Input!G4="German","Ausgeschlossen","Excluded"))</f>
        <v>Excluded</v>
      </c>
    </row>
    <row r="28" spans="1:10" ht="15.75" thickBot="1">
      <c r="A28" s="431"/>
      <c r="B28" s="431"/>
      <c r="C28" s="431"/>
      <c r="D28" s="431"/>
      <c r="E28" s="431"/>
      <c r="F28" s="431"/>
      <c r="G28" s="781"/>
      <c r="H28" s="787" t="str">
        <f>IF(Input!G4="German","Fundament-Paket","Foundation Package")</f>
        <v>Foundation Package</v>
      </c>
      <c r="I28" s="790"/>
      <c r="J28" s="559" t="str">
        <f>IF(Vertragsart&lt;&gt;"Basic","Optional",IF(Input!G4="German","Ausgeschlossen","Excluded"))</f>
        <v>Excluded</v>
      </c>
    </row>
    <row r="29" spans="1:10" ht="6.75" customHeight="1" thickBot="1">
      <c r="A29" s="431"/>
      <c r="B29" s="431"/>
      <c r="C29" s="431"/>
      <c r="D29" s="431"/>
      <c r="E29" s="431"/>
      <c r="F29" s="431"/>
      <c r="G29" s="466"/>
      <c r="H29" s="468"/>
      <c r="I29" s="468"/>
      <c r="J29" s="474"/>
    </row>
    <row r="30" spans="1:10" ht="15" customHeight="1">
      <c r="A30" s="431"/>
      <c r="B30" s="774" t="str">
        <f>IF(Input!G4="German","wir freuen uns Ihnen für die "&amp;IF(OR(Input!D17="Basic",Input!D17="Basic +"),"Teilwartung","Vollwartung")&amp;" Ihrer Windenergieanlagen am Standort "&amp;Input!D9&amp;" unser attraktives Angebot zu unterbreiten. Bitte entnehmen Sie den Leistungsumfang, optionale Leistungen und die Konditionen der folgenden Seite.","herewith we kindly would like to submit our attractive offer for "&amp;IF(OR(Input!D17="Basic",Input!D17="Basic +"),"partial maintenance","full maintenance")&amp;"  for your wind energy convertors in the wind farm "&amp;Input!D9&amp;". Please abstract details on our offered services, options and the conditions from the following page.")</f>
        <v>herewith we kindly would like to submit our attractive offer for partial maintenance  for your wind energy convertors in the wind farm Gussenstadt. Please abstract details on our offered services, options and the conditions from the following page.</v>
      </c>
      <c r="C30" s="774"/>
      <c r="D30" s="774"/>
      <c r="E30" s="774"/>
      <c r="F30" s="431"/>
      <c r="G30" s="798" t="str">
        <f>IF(Input!G4="German","Optionen","Options")</f>
        <v>Options</v>
      </c>
      <c r="H30" s="791" t="str">
        <f>IF(Input!G4="German","Getriebeölwechsel, zustandsorientiert","Gearbox Oil Exchange, condition based")</f>
        <v>Gearbox Oil Exchange, condition based</v>
      </c>
      <c r="I30" s="792"/>
      <c r="J30" s="478" t="str">
        <f>IF(Input!D22="excluded ",IF(Input!$G$4="German","Optional","Optional"),IF(Input!$G$4="German","Inkludiert","Included"))</f>
        <v>Optional</v>
      </c>
    </row>
    <row r="31" spans="1:10" ht="15" customHeight="1">
      <c r="A31" s="431"/>
      <c r="B31" s="774"/>
      <c r="C31" s="774"/>
      <c r="D31" s="774"/>
      <c r="E31" s="774"/>
      <c r="F31" s="431"/>
      <c r="G31" s="799"/>
      <c r="H31" s="786" t="str">
        <f>IF(Input!G4="German","Befahranlageninspektion durch ZÜS","Service Lift Inspection by Certified Body")</f>
        <v>Service Lift Inspection by Certified Body</v>
      </c>
      <c r="I31" s="789"/>
      <c r="J31" s="479" t="str">
        <f>IF(Input!D23="excluded ",IF(Input!$G$4="German","Optional","Optional"),IF(Input!$G$4="German","Inkludiert","Included"))</f>
        <v>Optional</v>
      </c>
    </row>
    <row r="32" spans="1:10" ht="15" customHeight="1">
      <c r="A32" s="431"/>
      <c r="B32" s="774"/>
      <c r="C32" s="774"/>
      <c r="D32" s="774"/>
      <c r="E32" s="774"/>
      <c r="F32" s="431"/>
      <c r="G32" s="799"/>
      <c r="H32" s="786" t="str">
        <f>IF(Input!G4="German","Sicherheitstechnische Überprüfung","Statuatory Inspection of safety equipment")</f>
        <v>Statuatory Inspection of safety equipment</v>
      </c>
      <c r="I32" s="789"/>
      <c r="J32" s="479" t="str">
        <f>IF(Input!D24="excluded ",IF(Input!$G$4="German","Optional","Optional"),IF(Input!$G$4="German","Inkludiert","Included"))</f>
        <v>Optional</v>
      </c>
    </row>
    <row r="33" spans="1:10">
      <c r="A33" s="431"/>
      <c r="B33" s="774"/>
      <c r="C33" s="774"/>
      <c r="D33" s="774"/>
      <c r="E33" s="774"/>
      <c r="F33" s="431"/>
      <c r="G33" s="799"/>
      <c r="H33" s="786" t="str">
        <f>IF(Input!G4="German","Wartung und Instandsetzung der sicherheitstechnischen Komponenten","Maintenance and repair of safety equipment (ZÜS Service Lift)")</f>
        <v>Maintenance and repair of safety equipment (ZÜS Service Lift)</v>
      </c>
      <c r="I33" s="789"/>
      <c r="J33" s="479" t="str">
        <f>IF(OR(Input!D24="excluded ",Input!D24="Inspection"),IF(Input!$G$4="German","Optional","Optional"),IF(Input!$G$4="German","Inkludiert","Included"))</f>
        <v>Optional</v>
      </c>
    </row>
    <row r="34" spans="1:10">
      <c r="A34" s="431"/>
      <c r="B34" s="431"/>
      <c r="C34" s="431"/>
      <c r="D34" s="431"/>
      <c r="E34" s="431"/>
      <c r="F34" s="431"/>
      <c r="G34" s="799"/>
      <c r="H34" s="786" t="str">
        <f>IF(Input!G4="German","Rotorblattinspektionen","Rotor blade inspection")</f>
        <v>Rotor blade inspection</v>
      </c>
      <c r="I34" s="789"/>
      <c r="J34" s="479" t="str">
        <f>IF(Input!D25="excluded ",IF(Input!$G$4="German","Optional","Optional"),IF(Input!$G$4="German","Inkludiert","Included"))</f>
        <v>Optional</v>
      </c>
    </row>
    <row r="35" spans="1:10">
      <c r="A35" s="431"/>
      <c r="B35" s="775" t="str">
        <f>IF(Input!G4="German","Ergänzend zu unserem Angebot, stellen wir Ihnen gerne einen entsprechenden Vertragsentwurf zur Verfügung.","In addtion to our offer, we will kindly provide a contract draft.")</f>
        <v>In addtion to our offer, we will kindly provide a contract draft.</v>
      </c>
      <c r="C35" s="775"/>
      <c r="D35" s="775"/>
      <c r="E35" s="775"/>
      <c r="F35" s="431"/>
      <c r="G35" s="799"/>
      <c r="H35" s="786" t="str">
        <f>IF(Input!G4="German","Fundamentsinspektion","Foundation inspection")</f>
        <v>Foundation inspection</v>
      </c>
      <c r="I35" s="789"/>
      <c r="J35" s="479" t="str">
        <f>IF(Input!G17="excluded ",IF(Input!$G$4="German","Optional","Optional"),IF(Input!$G$4="German","Inkludiert","Included"))</f>
        <v>Optional</v>
      </c>
    </row>
    <row r="36" spans="1:10">
      <c r="A36" s="431"/>
      <c r="B36" s="775"/>
      <c r="C36" s="775"/>
      <c r="D36" s="775"/>
      <c r="E36" s="775"/>
      <c r="F36" s="431"/>
      <c r="G36" s="799"/>
      <c r="H36" s="786" t="str">
        <f>IF(Input!G4="German","Getriebevideoendoskopie","Gearbox videoendoscopic inspection")</f>
        <v>Gearbox videoendoscopic inspection</v>
      </c>
      <c r="I36" s="789"/>
      <c r="J36" s="479" t="str">
        <f>IF(Input!G18="excluded ",IF(Input!$G$4="German","Optional","Optional"),IF(Input!$G$4="German","Inkludiert","Included"))</f>
        <v>Optional</v>
      </c>
    </row>
    <row r="37" spans="1:10">
      <c r="A37" s="431"/>
      <c r="B37" s="431"/>
      <c r="C37" s="431"/>
      <c r="D37" s="431"/>
      <c r="E37" s="431"/>
      <c r="F37" s="431"/>
      <c r="G37" s="799"/>
      <c r="H37" s="786" t="str">
        <f>IF(Input!G4="German","Wiederkehrende Prüfung Maschine &amp; Turm","Recurring inspection WTG &amp; tower")</f>
        <v>Recurring inspection WTG &amp; tower</v>
      </c>
      <c r="I37" s="789"/>
      <c r="J37" s="479" t="str">
        <f>IF(Input!G19="excluded ",IF(Input!$G$4="German","Optional","Optional"),IF(Input!$G$4="German","Inkludiert","Included"))</f>
        <v>Optional</v>
      </c>
    </row>
    <row r="38" spans="1:10">
      <c r="A38" s="431"/>
      <c r="B38" s="774" t="str">
        <f>IF(Input!G4="German","Wir hoffen, dass Ihnen unser Angebot zusagt und würden uns über eine Auftragserteilung freuen. Wenn Sie noch Fragen oder Wünsche haben, rufen Sie einfach an!","Hopefully this offer appeals to you and an ordering would be much appriciated. If any queries or wishes remain, feel free to contact us directly.")</f>
        <v>Hopefully this offer appeals to you and an ordering would be much appriciated. If any queries or wishes remain, feel free to contact us directly.</v>
      </c>
      <c r="C38" s="774"/>
      <c r="D38" s="774"/>
      <c r="E38" s="774"/>
      <c r="F38" s="431"/>
      <c r="G38" s="799"/>
      <c r="H38" s="786" t="str">
        <f>IF(Input!G4="German","Inspektion der elektrischen Betriebsmittel nach DIN IEC 60364/ DGUV V3","Inspection of electrical equipment")</f>
        <v>Inspection of electrical equipment</v>
      </c>
      <c r="I38" s="789"/>
      <c r="J38" s="479" t="str">
        <f>IF(Input!G20="excluded ",IF(Input!$G$4="German","Optional","Optional"),IF(Input!$G$4="German","Inkludiert","Included"))</f>
        <v>Optional</v>
      </c>
    </row>
    <row r="39" spans="1:10">
      <c r="A39" s="431"/>
      <c r="B39" s="774"/>
      <c r="C39" s="774"/>
      <c r="D39" s="774"/>
      <c r="E39" s="774"/>
      <c r="F39" s="431"/>
      <c r="G39" s="799"/>
      <c r="H39" s="786" t="str">
        <f>IF(Input!G4="German","Befahranlagenwartung","Service Lift Maintenance")</f>
        <v>Service Lift Maintenance</v>
      </c>
      <c r="I39" s="789"/>
      <c r="J39" s="479" t="str">
        <f>IF(Input!G21="excluded ",IF(Input!$G$4="German","Optional","Optional"),IF(Input!$G$4="German","Inkludiert","Included"))</f>
        <v>Optional</v>
      </c>
    </row>
    <row r="40" spans="1:10">
      <c r="A40" s="431"/>
      <c r="B40" s="431"/>
      <c r="C40" s="431"/>
      <c r="D40" s="431"/>
      <c r="E40" s="431"/>
      <c r="F40" s="431"/>
      <c r="G40" s="799"/>
      <c r="H40" s="786" t="str">
        <f>IF(Input!G4="German","ZÜS-Inspektion der Druckbehälter","Inspection of Pressure Equipment by Certified Body")</f>
        <v>Inspection of Pressure Equipment by Certified Body</v>
      </c>
      <c r="I40" s="789"/>
      <c r="J40" s="479" t="str">
        <f>IF(Input!G22="excluded ",IF(Input!$G$4="German","Optional","Optional"),IF(Input!$G$4="German","Inkludiert","Included"))</f>
        <v>Optional</v>
      </c>
    </row>
    <row r="41" spans="1:10" ht="15.75">
      <c r="A41" s="431"/>
      <c r="B41" s="772" t="str">
        <f>IF(Input!G4="German","An dieses Angebot halten wir uns drei Monate gebunden.","This offer is valid for three month.")</f>
        <v>This offer is valid for three month.</v>
      </c>
      <c r="C41" s="772"/>
      <c r="D41" s="772"/>
      <c r="E41" s="772"/>
      <c r="F41" s="431"/>
      <c r="G41" s="799"/>
      <c r="H41" s="789" t="str">
        <f>IF(Input!G4="German","Tausch des Hydrauliköls, zustandsorientiert","Hydraulic oil exchange, condition based")</f>
        <v>Hydraulic oil exchange, condition based</v>
      </c>
      <c r="I41" s="801"/>
      <c r="J41" s="476" t="str">
        <f>IF(Input!D22="excluded ",IF(Input!$G$4="German","Optional","Optional"),IF(Input!$G$4="German","Inkludiert","Included"))</f>
        <v>Optional</v>
      </c>
    </row>
    <row r="42" spans="1:10" ht="15.75" thickBot="1">
      <c r="A42" s="431"/>
      <c r="B42" s="431"/>
      <c r="C42" s="431"/>
      <c r="D42" s="431"/>
      <c r="E42" s="431"/>
      <c r="F42" s="431"/>
      <c r="G42" s="800"/>
      <c r="H42" s="788" t="str">
        <f>IF(Input!G23="included",IF(Input!G4="German","Gittermastwartung","Lattice tower maintenance")," ")</f>
        <v xml:space="preserve"> </v>
      </c>
      <c r="I42" s="790"/>
      <c r="J42" s="480" t="str">
        <f>IF(Input!G23="excluded "," ",IF(Input!$G$4="German","Inkludiert","Included"))</f>
        <v>Included</v>
      </c>
    </row>
    <row r="43" spans="1:10" ht="6.75" customHeight="1" thickBot="1">
      <c r="A43" s="431"/>
      <c r="B43" s="431"/>
      <c r="C43" s="431"/>
      <c r="D43" s="431"/>
      <c r="E43" s="431"/>
      <c r="F43" s="431"/>
      <c r="G43" s="466"/>
      <c r="H43" s="466"/>
      <c r="I43" s="466"/>
      <c r="J43" s="467"/>
    </row>
    <row r="44" spans="1:10" ht="15.75">
      <c r="A44" s="431"/>
      <c r="B44" s="536" t="str">
        <f>IF(Input!G4="German","Mit freundlichen Grüßen","Kind Regards")</f>
        <v>Kind Regards</v>
      </c>
      <c r="C44" s="431"/>
      <c r="D44" s="431"/>
      <c r="E44" s="431"/>
      <c r="F44" s="431"/>
      <c r="G44" s="802" t="str">
        <f>IF(Input!G4="German","Bitte beachten:","Please notice:")</f>
        <v>Please notice:</v>
      </c>
      <c r="H44" s="803"/>
      <c r="I44" s="803"/>
      <c r="J44" s="804"/>
    </row>
    <row r="45" spans="1:10">
      <c r="A45" s="431"/>
      <c r="B45" s="431"/>
      <c r="C45" s="431"/>
      <c r="D45" s="431"/>
      <c r="E45" s="431"/>
      <c r="F45" s="431"/>
      <c r="G45" s="805"/>
      <c r="H45" s="806"/>
      <c r="I45" s="806"/>
      <c r="J45" s="807"/>
    </row>
    <row r="46" spans="1:10">
      <c r="A46" s="431"/>
      <c r="B46" s="431"/>
      <c r="C46" s="431"/>
      <c r="D46" s="431"/>
      <c r="E46" s="431"/>
      <c r="F46" s="431"/>
      <c r="G46" s="805"/>
      <c r="H46" s="806"/>
      <c r="I46" s="806"/>
      <c r="J46" s="807"/>
    </row>
    <row r="47" spans="1:10">
      <c r="A47" s="431"/>
      <c r="B47" s="337"/>
      <c r="C47" s="431"/>
      <c r="D47" s="431"/>
      <c r="E47" s="431"/>
      <c r="F47" s="431"/>
      <c r="G47" s="805"/>
      <c r="H47" s="806"/>
      <c r="I47" s="806"/>
      <c r="J47" s="807"/>
    </row>
    <row r="48" spans="1:10" ht="15.75">
      <c r="A48" s="431"/>
      <c r="B48" s="536" t="str">
        <f>Input!D31</f>
        <v>Alfredo Del Tiempo Pina</v>
      </c>
      <c r="C48" s="431"/>
      <c r="D48" s="431"/>
      <c r="E48" s="431"/>
      <c r="F48" s="431"/>
      <c r="G48" s="805"/>
      <c r="H48" s="806"/>
      <c r="I48" s="806"/>
      <c r="J48" s="807"/>
    </row>
    <row r="49" spans="1:10">
      <c r="A49" s="431"/>
      <c r="B49" s="431"/>
      <c r="C49" s="431"/>
      <c r="D49" s="431"/>
      <c r="E49" s="431"/>
      <c r="F49" s="431"/>
      <c r="G49" s="805"/>
      <c r="H49" s="806"/>
      <c r="I49" s="806"/>
      <c r="J49" s="807"/>
    </row>
    <row r="50" spans="1:10">
      <c r="A50" s="431"/>
      <c r="B50" s="431"/>
      <c r="C50" s="431"/>
      <c r="D50" s="431"/>
      <c r="E50" s="431"/>
      <c r="F50" s="431"/>
      <c r="G50" s="805"/>
      <c r="H50" s="806"/>
      <c r="I50" s="806"/>
      <c r="J50" s="807"/>
    </row>
    <row r="51" spans="1:10" ht="15.75" thickBot="1">
      <c r="A51" s="431"/>
      <c r="B51" s="431"/>
      <c r="C51" s="431"/>
      <c r="D51" s="431"/>
      <c r="E51" s="431"/>
      <c r="F51" s="431"/>
      <c r="G51" s="808"/>
      <c r="H51" s="809"/>
      <c r="I51" s="809"/>
      <c r="J51" s="810"/>
    </row>
    <row r="52" spans="1:10" ht="15.75" thickBot="1">
      <c r="A52" s="431"/>
      <c r="B52" s="431"/>
      <c r="C52" s="431"/>
      <c r="D52" s="431"/>
      <c r="E52" s="431"/>
      <c r="F52" s="431"/>
      <c r="G52" s="466"/>
      <c r="H52" s="466"/>
      <c r="I52" s="466"/>
      <c r="J52" s="467"/>
    </row>
    <row r="53" spans="1:10" ht="45" customHeight="1" thickBot="1">
      <c r="A53" s="431"/>
      <c r="B53" s="431"/>
      <c r="C53" s="431"/>
      <c r="D53" s="431"/>
      <c r="E53" s="431"/>
      <c r="F53" s="431"/>
      <c r="G53" s="796" t="str">
        <f>IF(Input!G4="German","Gültig bis: 31.12.2018","Valid until: 31.12.2018")</f>
        <v>Valid until: 31.12.2018</v>
      </c>
      <c r="H53" s="797"/>
      <c r="I53" s="794" t="str">
        <f>IF(Input!G4="German","Erstellt durch "&amp;Input!D31&amp;CHAR(10)&amp;"Tel. "&amp;Input!G30&amp;CHAR(10)&amp;Input!G29,"Prepared by "&amp;Input!D31&amp;CHAR(10)&amp;"Tel. "&amp;Input!G30&amp;CHAR(10)&amp;Input!G29)</f>
        <v>Prepared by Alfredo Del Tiempo Pina
Tel. +34 976 216 038 
a.deltiempo-pina@deutsche-windtechnik.com</v>
      </c>
      <c r="J53" s="795"/>
    </row>
    <row r="54" spans="1:10">
      <c r="B54" s="25"/>
      <c r="C54" s="25"/>
      <c r="D54" s="25"/>
      <c r="E54" s="25"/>
      <c r="F54" s="25"/>
    </row>
    <row r="55" spans="1:10">
      <c r="B55" s="25"/>
      <c r="C55" s="25"/>
    </row>
    <row r="62" spans="1:10" ht="15" customHeight="1"/>
    <row r="69" ht="15" customHeight="1"/>
    <row r="83" ht="15" customHeight="1"/>
    <row r="108" spans="7:14">
      <c r="G108" s="466"/>
      <c r="H108" s="466"/>
      <c r="I108" s="466"/>
      <c r="J108" s="467"/>
      <c r="K108" s="466"/>
      <c r="L108" s="466"/>
      <c r="M108" s="466"/>
      <c r="N108" s="466"/>
    </row>
    <row r="109" spans="7:14">
      <c r="G109" s="466"/>
      <c r="H109" s="466"/>
      <c r="I109" s="466"/>
      <c r="J109" s="467"/>
      <c r="K109" s="466"/>
      <c r="L109" s="466"/>
      <c r="M109" s="466"/>
      <c r="N109" s="466"/>
    </row>
    <row r="110" spans="7:14">
      <c r="G110" s="466"/>
      <c r="H110" s="466"/>
      <c r="I110" s="466"/>
      <c r="J110" s="467"/>
      <c r="K110" s="466"/>
      <c r="L110" s="466"/>
      <c r="M110" s="466"/>
      <c r="N110" s="466"/>
    </row>
    <row r="111" spans="7:14">
      <c r="G111" s="466"/>
      <c r="H111" s="466"/>
      <c r="I111" s="466"/>
      <c r="J111" s="467"/>
      <c r="K111" s="466"/>
      <c r="L111" s="466"/>
      <c r="M111" s="466"/>
      <c r="N111" s="466"/>
    </row>
    <row r="112" spans="7:14">
      <c r="G112" s="466"/>
      <c r="H112" s="466"/>
      <c r="I112" s="466"/>
      <c r="J112" s="467"/>
      <c r="K112" s="466"/>
      <c r="L112" s="466"/>
      <c r="M112" s="466"/>
      <c r="N112" s="466"/>
    </row>
    <row r="113" spans="7:14">
      <c r="G113" s="466"/>
      <c r="H113" s="466"/>
      <c r="I113" s="466"/>
      <c r="J113" s="467"/>
      <c r="K113" s="466"/>
      <c r="L113" s="466"/>
      <c r="M113" s="466"/>
      <c r="N113" s="466"/>
    </row>
    <row r="114" spans="7:14">
      <c r="G114" s="466"/>
      <c r="H114" s="466"/>
      <c r="I114" s="466"/>
      <c r="J114" s="467"/>
      <c r="K114" s="466"/>
      <c r="L114" s="466"/>
      <c r="M114" s="466"/>
      <c r="N114" s="466"/>
    </row>
    <row r="115" spans="7:14">
      <c r="G115" s="466"/>
      <c r="H115" s="466"/>
      <c r="I115" s="466"/>
      <c r="J115" s="467"/>
      <c r="K115" s="466"/>
      <c r="L115" s="466"/>
      <c r="M115" s="466"/>
      <c r="N115" s="466"/>
    </row>
    <row r="116" spans="7:14">
      <c r="G116" s="466"/>
      <c r="H116" s="466"/>
      <c r="I116" s="466"/>
      <c r="J116" s="467"/>
      <c r="K116" s="466"/>
      <c r="L116" s="466"/>
      <c r="M116" s="466"/>
      <c r="N116" s="466"/>
    </row>
    <row r="117" spans="7:14">
      <c r="G117" s="466"/>
      <c r="H117" s="466"/>
      <c r="I117" s="466"/>
      <c r="J117" s="467"/>
      <c r="K117" s="466"/>
      <c r="L117" s="466"/>
      <c r="M117" s="466"/>
      <c r="N117" s="466"/>
    </row>
    <row r="118" spans="7:14">
      <c r="G118" s="466"/>
      <c r="H118" s="466"/>
      <c r="I118" s="466"/>
      <c r="J118" s="467"/>
      <c r="K118" s="466"/>
      <c r="L118" s="466"/>
      <c r="M118" s="466"/>
      <c r="N118" s="466"/>
    </row>
    <row r="119" spans="7:14">
      <c r="G119" s="466"/>
      <c r="H119" s="466"/>
      <c r="I119" s="466"/>
      <c r="J119" s="467"/>
      <c r="K119" s="466"/>
      <c r="L119" s="466"/>
      <c r="M119" s="466"/>
      <c r="N119" s="466"/>
    </row>
    <row r="120" spans="7:14">
      <c r="G120" s="466"/>
      <c r="H120" s="466"/>
      <c r="I120" s="466"/>
      <c r="J120" s="467"/>
      <c r="K120" s="466"/>
      <c r="L120" s="466"/>
      <c r="M120" s="466"/>
      <c r="N120" s="466"/>
    </row>
    <row r="121" spans="7:14">
      <c r="G121" s="466"/>
      <c r="H121" s="466"/>
      <c r="I121" s="466"/>
      <c r="J121" s="467"/>
      <c r="K121" s="466"/>
      <c r="L121" s="466"/>
      <c r="M121" s="466"/>
      <c r="N121" s="466"/>
    </row>
    <row r="122" spans="7:14">
      <c r="G122" s="466"/>
      <c r="H122" s="466"/>
      <c r="I122" s="466"/>
      <c r="J122" s="467"/>
      <c r="K122" s="466"/>
      <c r="L122" s="466"/>
      <c r="M122" s="466"/>
      <c r="N122" s="466"/>
    </row>
    <row r="123" spans="7:14">
      <c r="G123" s="466"/>
      <c r="H123" s="466"/>
      <c r="I123" s="466"/>
      <c r="J123" s="467"/>
      <c r="K123" s="466"/>
      <c r="L123" s="466"/>
      <c r="M123" s="466"/>
      <c r="N123" s="466"/>
    </row>
    <row r="124" spans="7:14">
      <c r="G124" s="466"/>
      <c r="H124" s="466"/>
      <c r="I124" s="466"/>
      <c r="J124" s="467"/>
      <c r="K124" s="466"/>
      <c r="L124" s="466"/>
      <c r="M124" s="466"/>
      <c r="N124" s="466"/>
    </row>
    <row r="125" spans="7:14">
      <c r="G125" s="466"/>
      <c r="H125" s="466"/>
      <c r="I125" s="466"/>
      <c r="J125" s="467"/>
      <c r="K125" s="466"/>
      <c r="L125" s="466"/>
      <c r="M125" s="466"/>
      <c r="N125" s="466"/>
    </row>
    <row r="126" spans="7:14">
      <c r="G126" s="466"/>
      <c r="H126" s="466"/>
      <c r="I126" s="466"/>
      <c r="J126" s="467"/>
      <c r="K126" s="466"/>
      <c r="L126" s="466"/>
      <c r="M126" s="466"/>
      <c r="N126" s="466"/>
    </row>
    <row r="127" spans="7:14">
      <c r="G127" s="466"/>
      <c r="H127" s="466"/>
      <c r="I127" s="466"/>
      <c r="J127" s="467"/>
      <c r="K127" s="466"/>
      <c r="L127" s="466"/>
      <c r="M127" s="466"/>
      <c r="N127" s="466"/>
    </row>
    <row r="128" spans="7:14">
      <c r="G128" s="466"/>
      <c r="H128" s="466"/>
      <c r="I128" s="466"/>
      <c r="J128" s="467"/>
      <c r="K128" s="466"/>
      <c r="L128" s="466"/>
      <c r="M128" s="466"/>
      <c r="N128" s="466"/>
    </row>
    <row r="129" spans="7:14">
      <c r="G129" s="466"/>
      <c r="H129" s="466"/>
      <c r="I129" s="466"/>
      <c r="J129" s="467"/>
      <c r="K129" s="466"/>
      <c r="L129" s="466"/>
      <c r="M129" s="466"/>
      <c r="N129" s="466"/>
    </row>
    <row r="130" spans="7:14">
      <c r="G130" s="466"/>
      <c r="H130" s="466"/>
      <c r="I130" s="466"/>
      <c r="J130" s="467"/>
      <c r="K130" s="466"/>
      <c r="L130" s="466"/>
      <c r="M130" s="466"/>
      <c r="N130" s="466"/>
    </row>
    <row r="131" spans="7:14">
      <c r="G131" s="466"/>
      <c r="H131" s="466"/>
      <c r="I131" s="466"/>
      <c r="J131" s="467"/>
      <c r="K131" s="466"/>
      <c r="L131" s="466"/>
      <c r="M131" s="466"/>
      <c r="N131" s="466"/>
    </row>
    <row r="132" spans="7:14">
      <c r="G132" s="466"/>
      <c r="H132" s="466"/>
      <c r="I132" s="466"/>
      <c r="J132" s="467"/>
      <c r="K132" s="466"/>
      <c r="L132" s="466"/>
      <c r="M132" s="466"/>
      <c r="N132" s="466"/>
    </row>
    <row r="133" spans="7:14">
      <c r="G133" s="466"/>
      <c r="H133" s="466"/>
      <c r="I133" s="466"/>
      <c r="J133" s="467"/>
      <c r="K133" s="466"/>
      <c r="L133" s="466"/>
      <c r="M133" s="466"/>
      <c r="N133" s="466"/>
    </row>
    <row r="134" spans="7:14">
      <c r="G134" s="466"/>
      <c r="H134" s="466"/>
      <c r="I134" s="466"/>
      <c r="J134" s="467"/>
      <c r="K134" s="466"/>
      <c r="L134" s="466"/>
      <c r="M134" s="466"/>
      <c r="N134" s="466"/>
    </row>
    <row r="135" spans="7:14">
      <c r="G135" s="466"/>
      <c r="H135" s="466"/>
      <c r="I135" s="466"/>
      <c r="J135" s="467"/>
      <c r="K135" s="466"/>
      <c r="L135" s="466"/>
      <c r="M135" s="466"/>
      <c r="N135" s="466"/>
    </row>
    <row r="136" spans="7:14">
      <c r="G136" s="466"/>
      <c r="H136" s="466"/>
      <c r="I136" s="466"/>
      <c r="J136" s="467"/>
      <c r="K136" s="466"/>
      <c r="L136" s="466"/>
      <c r="M136" s="466"/>
      <c r="N136" s="466"/>
    </row>
    <row r="137" spans="7:14">
      <c r="G137" s="466"/>
      <c r="H137" s="466"/>
      <c r="I137" s="466"/>
      <c r="J137" s="467"/>
      <c r="K137" s="466"/>
      <c r="L137" s="466"/>
      <c r="M137" s="466"/>
      <c r="N137" s="466"/>
    </row>
    <row r="138" spans="7:14">
      <c r="G138" s="466"/>
      <c r="H138" s="466"/>
      <c r="I138" s="466"/>
      <c r="J138" s="467"/>
      <c r="K138" s="466"/>
      <c r="L138" s="466"/>
      <c r="M138" s="466"/>
      <c r="N138" s="466"/>
    </row>
    <row r="139" spans="7:14">
      <c r="G139" s="466"/>
      <c r="H139" s="466"/>
      <c r="I139" s="466"/>
      <c r="J139" s="467"/>
      <c r="K139" s="466"/>
      <c r="L139" s="466"/>
      <c r="M139" s="466"/>
      <c r="N139" s="466"/>
    </row>
    <row r="140" spans="7:14">
      <c r="G140" s="466"/>
      <c r="H140" s="466"/>
      <c r="I140" s="466"/>
      <c r="J140" s="467"/>
      <c r="K140" s="466"/>
      <c r="L140" s="466"/>
      <c r="M140" s="466"/>
      <c r="N140" s="466"/>
    </row>
    <row r="141" spans="7:14">
      <c r="G141" s="466"/>
      <c r="H141" s="466"/>
      <c r="I141" s="466"/>
      <c r="J141" s="467"/>
      <c r="K141" s="466"/>
      <c r="L141" s="466"/>
      <c r="M141" s="466"/>
      <c r="N141" s="466"/>
    </row>
    <row r="142" spans="7:14">
      <c r="G142" s="466"/>
      <c r="H142" s="466"/>
      <c r="I142" s="466"/>
      <c r="J142" s="467"/>
      <c r="K142" s="466"/>
      <c r="L142" s="466"/>
      <c r="M142" s="466"/>
      <c r="N142" s="466"/>
    </row>
    <row r="143" spans="7:14">
      <c r="G143" s="466"/>
      <c r="H143" s="466"/>
      <c r="I143" s="466"/>
      <c r="J143" s="467"/>
      <c r="K143" s="466"/>
      <c r="L143" s="466"/>
      <c r="M143" s="466"/>
      <c r="N143" s="466"/>
    </row>
    <row r="144" spans="7:14">
      <c r="G144" s="466"/>
      <c r="H144" s="466"/>
      <c r="I144" s="466"/>
      <c r="J144" s="467"/>
      <c r="K144" s="466"/>
      <c r="L144" s="466"/>
      <c r="M144" s="466"/>
      <c r="N144" s="466"/>
    </row>
    <row r="145" spans="7:14">
      <c r="G145" s="466"/>
      <c r="H145" s="466"/>
      <c r="I145" s="466"/>
      <c r="J145" s="467"/>
      <c r="K145" s="466"/>
      <c r="L145" s="466"/>
      <c r="M145" s="466"/>
      <c r="N145" s="466"/>
    </row>
    <row r="146" spans="7:14">
      <c r="G146" s="466"/>
      <c r="H146" s="466"/>
      <c r="I146" s="466"/>
      <c r="J146" s="467"/>
      <c r="K146" s="466"/>
      <c r="L146" s="466"/>
      <c r="M146" s="466"/>
      <c r="N146" s="466"/>
    </row>
    <row r="147" spans="7:14">
      <c r="G147" s="466"/>
      <c r="H147" s="466"/>
      <c r="I147" s="466"/>
      <c r="J147" s="467"/>
      <c r="K147" s="466"/>
      <c r="L147" s="466"/>
      <c r="M147" s="466"/>
      <c r="N147" s="466"/>
    </row>
    <row r="148" spans="7:14">
      <c r="G148" s="466"/>
      <c r="H148" s="466"/>
      <c r="I148" s="466"/>
      <c r="J148" s="467"/>
      <c r="K148" s="466"/>
      <c r="L148" s="466"/>
      <c r="M148" s="466"/>
      <c r="N148" s="466"/>
    </row>
    <row r="149" spans="7:14">
      <c r="G149" s="466"/>
      <c r="H149" s="466"/>
      <c r="I149" s="466"/>
      <c r="J149" s="467"/>
      <c r="K149" s="466"/>
      <c r="L149" s="466"/>
      <c r="M149" s="466"/>
      <c r="N149" s="466"/>
    </row>
    <row r="150" spans="7:14">
      <c r="G150" s="466"/>
      <c r="H150" s="466"/>
      <c r="I150" s="466"/>
      <c r="J150" s="467"/>
      <c r="K150" s="466"/>
      <c r="L150" s="466"/>
      <c r="M150" s="466"/>
      <c r="N150" s="466"/>
    </row>
    <row r="151" spans="7:14">
      <c r="G151" s="466"/>
      <c r="H151" s="466"/>
      <c r="I151" s="466"/>
      <c r="J151" s="467"/>
      <c r="K151" s="466"/>
      <c r="L151" s="466"/>
      <c r="M151" s="466"/>
      <c r="N151" s="466"/>
    </row>
    <row r="152" spans="7:14">
      <c r="G152" s="466"/>
      <c r="H152" s="466"/>
      <c r="I152" s="466"/>
      <c r="J152" s="467"/>
      <c r="K152" s="466"/>
      <c r="L152" s="466"/>
      <c r="M152" s="466"/>
      <c r="N152" s="466"/>
    </row>
    <row r="153" spans="7:14">
      <c r="G153" s="466"/>
      <c r="H153" s="466"/>
      <c r="I153" s="466"/>
      <c r="J153" s="467"/>
      <c r="K153" s="466"/>
      <c r="L153" s="466"/>
      <c r="M153" s="466"/>
      <c r="N153" s="466"/>
    </row>
    <row r="154" spans="7:14">
      <c r="G154" s="466"/>
      <c r="H154" s="466"/>
      <c r="I154" s="466"/>
      <c r="J154" s="467"/>
      <c r="K154" s="466"/>
      <c r="L154" s="466"/>
      <c r="M154" s="466"/>
      <c r="N154" s="466"/>
    </row>
    <row r="155" spans="7:14">
      <c r="G155" s="466"/>
      <c r="H155" s="466"/>
      <c r="I155" s="466"/>
      <c r="J155" s="467"/>
      <c r="K155" s="466"/>
      <c r="L155" s="466"/>
      <c r="M155" s="466"/>
      <c r="N155" s="466"/>
    </row>
    <row r="156" spans="7:14">
      <c r="G156" s="466"/>
      <c r="H156" s="466"/>
      <c r="I156" s="466"/>
      <c r="J156" s="467"/>
      <c r="K156" s="466"/>
      <c r="L156" s="466"/>
      <c r="M156" s="466"/>
      <c r="N156" s="466"/>
    </row>
    <row r="157" spans="7:14">
      <c r="G157" s="466"/>
      <c r="H157" s="466"/>
      <c r="I157" s="466"/>
      <c r="J157" s="467"/>
      <c r="K157" s="466"/>
      <c r="L157" s="466"/>
      <c r="M157" s="466"/>
      <c r="N157" s="466"/>
    </row>
    <row r="158" spans="7:14">
      <c r="G158" s="466"/>
      <c r="H158" s="466"/>
      <c r="I158" s="466"/>
      <c r="J158" s="467"/>
      <c r="K158" s="466"/>
      <c r="L158" s="466"/>
      <c r="M158" s="466"/>
      <c r="N158" s="466"/>
    </row>
    <row r="159" spans="7:14">
      <c r="G159" s="466"/>
      <c r="H159" s="466"/>
      <c r="I159" s="466"/>
      <c r="J159" s="467"/>
      <c r="K159" s="466"/>
      <c r="L159" s="466"/>
      <c r="M159" s="466"/>
      <c r="N159" s="466"/>
    </row>
    <row r="160" spans="7:14">
      <c r="G160" s="466"/>
      <c r="H160" s="466"/>
      <c r="I160" s="466"/>
      <c r="J160" s="467"/>
      <c r="K160" s="466"/>
      <c r="L160" s="466"/>
      <c r="M160" s="466"/>
      <c r="N160" s="466"/>
    </row>
    <row r="161" spans="7:14">
      <c r="G161" s="466"/>
      <c r="H161" s="466"/>
      <c r="I161" s="466"/>
      <c r="J161" s="467"/>
      <c r="K161" s="466"/>
      <c r="L161" s="466"/>
      <c r="M161" s="466"/>
      <c r="N161" s="466"/>
    </row>
    <row r="162" spans="7:14">
      <c r="G162" s="466"/>
      <c r="H162" s="466"/>
      <c r="I162" s="466"/>
      <c r="J162" s="467"/>
      <c r="K162" s="466"/>
      <c r="L162" s="466"/>
      <c r="M162" s="466"/>
      <c r="N162" s="466"/>
    </row>
    <row r="163" spans="7:14">
      <c r="G163" s="466"/>
      <c r="H163" s="466"/>
      <c r="I163" s="466"/>
      <c r="J163" s="467"/>
      <c r="K163" s="466"/>
      <c r="L163" s="466"/>
      <c r="M163" s="466"/>
      <c r="N163" s="466"/>
    </row>
    <row r="164" spans="7:14">
      <c r="G164" s="466"/>
      <c r="H164" s="466"/>
      <c r="I164" s="466"/>
      <c r="J164" s="467"/>
      <c r="K164" s="466"/>
      <c r="L164" s="466"/>
      <c r="M164" s="466"/>
      <c r="N164" s="466"/>
    </row>
    <row r="165" spans="7:14">
      <c r="G165" s="466"/>
      <c r="H165" s="466"/>
      <c r="I165" s="466"/>
      <c r="J165" s="467"/>
      <c r="K165" s="466"/>
      <c r="L165" s="466"/>
      <c r="M165" s="466"/>
      <c r="N165" s="466"/>
    </row>
    <row r="166" spans="7:14">
      <c r="G166" s="466"/>
      <c r="H166" s="466"/>
      <c r="I166" s="466"/>
      <c r="J166" s="467"/>
      <c r="K166" s="466"/>
      <c r="L166" s="466"/>
      <c r="M166" s="466"/>
      <c r="N166" s="466"/>
    </row>
    <row r="167" spans="7:14">
      <c r="G167" s="466"/>
      <c r="H167" s="466"/>
      <c r="I167" s="466"/>
      <c r="J167" s="467"/>
      <c r="K167" s="466"/>
      <c r="L167" s="466"/>
      <c r="M167" s="466"/>
      <c r="N167" s="466"/>
    </row>
    <row r="168" spans="7:14">
      <c r="G168" s="466"/>
      <c r="H168" s="466"/>
      <c r="I168" s="466"/>
      <c r="J168" s="467"/>
      <c r="K168" s="466"/>
      <c r="L168" s="466"/>
      <c r="M168" s="466"/>
      <c r="N168" s="466"/>
    </row>
    <row r="169" spans="7:14">
      <c r="G169" s="466"/>
      <c r="H169" s="466"/>
      <c r="I169" s="466"/>
      <c r="J169" s="467"/>
      <c r="K169" s="466"/>
      <c r="L169" s="466"/>
      <c r="M169" s="466"/>
      <c r="N169" s="466"/>
    </row>
    <row r="170" spans="7:14">
      <c r="G170" s="466"/>
      <c r="H170" s="466"/>
      <c r="I170" s="466"/>
      <c r="J170" s="467"/>
      <c r="K170" s="466"/>
      <c r="L170" s="466"/>
      <c r="M170" s="466"/>
      <c r="N170" s="466"/>
    </row>
    <row r="171" spans="7:14">
      <c r="G171" s="466"/>
      <c r="H171" s="466"/>
      <c r="I171" s="466"/>
      <c r="J171" s="467"/>
      <c r="K171" s="466"/>
      <c r="L171" s="466"/>
      <c r="M171" s="466"/>
      <c r="N171" s="466"/>
    </row>
    <row r="172" spans="7:14">
      <c r="G172" s="466"/>
      <c r="H172" s="466"/>
      <c r="I172" s="466"/>
      <c r="J172" s="467"/>
      <c r="K172" s="466"/>
      <c r="L172" s="466"/>
      <c r="M172" s="466"/>
      <c r="N172" s="466"/>
    </row>
    <row r="173" spans="7:14">
      <c r="G173" s="466"/>
      <c r="H173" s="466"/>
      <c r="I173" s="466"/>
      <c r="J173" s="467"/>
      <c r="K173" s="466"/>
      <c r="L173" s="466"/>
      <c r="M173" s="466"/>
      <c r="N173" s="466"/>
    </row>
    <row r="174" spans="7:14">
      <c r="G174" s="466"/>
      <c r="H174" s="466"/>
      <c r="I174" s="466"/>
      <c r="J174" s="467"/>
      <c r="K174" s="466"/>
      <c r="L174" s="466"/>
      <c r="M174" s="466"/>
      <c r="N174" s="466"/>
    </row>
    <row r="175" spans="7:14">
      <c r="G175" s="466"/>
      <c r="H175" s="466"/>
      <c r="I175" s="466"/>
      <c r="J175" s="467"/>
      <c r="K175" s="466"/>
      <c r="L175" s="466"/>
      <c r="M175" s="466"/>
      <c r="N175" s="466"/>
    </row>
    <row r="176" spans="7:14">
      <c r="G176" s="466"/>
      <c r="H176" s="466"/>
      <c r="I176" s="466"/>
      <c r="J176" s="467"/>
      <c r="K176" s="466"/>
      <c r="L176" s="466"/>
      <c r="M176" s="466"/>
      <c r="N176" s="466"/>
    </row>
    <row r="177" spans="7:14">
      <c r="G177" s="466"/>
      <c r="H177" s="466"/>
      <c r="I177" s="466"/>
      <c r="J177" s="467"/>
      <c r="K177" s="466"/>
      <c r="L177" s="466"/>
      <c r="M177" s="466"/>
      <c r="N177" s="466"/>
    </row>
    <row r="178" spans="7:14">
      <c r="G178" s="466"/>
      <c r="H178" s="466"/>
      <c r="I178" s="466"/>
      <c r="J178" s="467"/>
      <c r="K178" s="466"/>
      <c r="L178" s="466"/>
      <c r="M178" s="466"/>
      <c r="N178" s="466"/>
    </row>
    <row r="179" spans="7:14">
      <c r="G179" s="466"/>
      <c r="H179" s="466"/>
      <c r="I179" s="466"/>
      <c r="J179" s="467"/>
      <c r="K179" s="466"/>
      <c r="L179" s="466"/>
      <c r="M179" s="466"/>
      <c r="N179" s="466"/>
    </row>
    <row r="180" spans="7:14">
      <c r="G180" s="466"/>
      <c r="H180" s="466"/>
      <c r="I180" s="466"/>
      <c r="J180" s="467"/>
      <c r="K180" s="466"/>
      <c r="L180" s="466"/>
      <c r="M180" s="466"/>
      <c r="N180" s="466"/>
    </row>
    <row r="181" spans="7:14">
      <c r="G181" s="466"/>
      <c r="H181" s="466"/>
      <c r="I181" s="466"/>
      <c r="J181" s="467"/>
      <c r="K181" s="466"/>
      <c r="L181" s="466"/>
      <c r="M181" s="466"/>
      <c r="N181" s="466"/>
    </row>
    <row r="182" spans="7:14">
      <c r="G182" s="466"/>
      <c r="H182" s="466"/>
      <c r="I182" s="466"/>
      <c r="J182" s="467"/>
      <c r="K182" s="466"/>
      <c r="L182" s="466"/>
      <c r="M182" s="466"/>
      <c r="N182" s="466"/>
    </row>
    <row r="183" spans="7:14">
      <c r="G183" s="466"/>
      <c r="H183" s="466"/>
      <c r="I183" s="466"/>
      <c r="J183" s="467"/>
      <c r="K183" s="466"/>
      <c r="L183" s="466"/>
      <c r="M183" s="466"/>
      <c r="N183" s="466"/>
    </row>
    <row r="184" spans="7:14">
      <c r="G184" s="466"/>
      <c r="H184" s="466"/>
      <c r="I184" s="466"/>
      <c r="J184" s="467"/>
      <c r="K184" s="466"/>
      <c r="L184" s="466"/>
      <c r="M184" s="466"/>
      <c r="N184" s="466"/>
    </row>
    <row r="185" spans="7:14">
      <c r="G185" s="466"/>
      <c r="H185" s="466"/>
      <c r="I185" s="466"/>
      <c r="J185" s="467"/>
      <c r="K185" s="466"/>
      <c r="L185" s="466"/>
      <c r="M185" s="466"/>
      <c r="N185" s="466"/>
    </row>
    <row r="186" spans="7:14">
      <c r="G186" s="466"/>
      <c r="H186" s="466"/>
      <c r="I186" s="466"/>
      <c r="J186" s="467"/>
      <c r="K186" s="466"/>
      <c r="L186" s="466"/>
      <c r="M186" s="466"/>
      <c r="N186" s="466"/>
    </row>
    <row r="187" spans="7:14">
      <c r="G187" s="466"/>
      <c r="H187" s="466"/>
      <c r="I187" s="466"/>
      <c r="J187" s="467"/>
      <c r="K187" s="466"/>
      <c r="L187" s="466"/>
      <c r="M187" s="466"/>
      <c r="N187" s="466"/>
    </row>
    <row r="188" spans="7:14">
      <c r="G188" s="466"/>
      <c r="H188" s="466"/>
      <c r="I188" s="466"/>
      <c r="J188" s="467"/>
      <c r="K188" s="466"/>
      <c r="L188" s="466"/>
      <c r="M188" s="466"/>
      <c r="N188" s="466"/>
    </row>
    <row r="189" spans="7:14">
      <c r="G189" s="466"/>
      <c r="H189" s="466"/>
      <c r="I189" s="466"/>
      <c r="J189" s="467"/>
      <c r="K189" s="466"/>
      <c r="L189" s="466"/>
      <c r="M189" s="466"/>
      <c r="N189" s="466"/>
    </row>
    <row r="190" spans="7:14">
      <c r="G190" s="466"/>
      <c r="H190" s="466"/>
      <c r="I190" s="466"/>
      <c r="J190" s="467"/>
      <c r="K190" s="466"/>
      <c r="L190" s="466"/>
      <c r="M190" s="466"/>
      <c r="N190" s="466"/>
    </row>
    <row r="191" spans="7:14">
      <c r="G191" s="466"/>
      <c r="H191" s="466"/>
      <c r="I191" s="466"/>
      <c r="J191" s="467"/>
      <c r="K191" s="466"/>
      <c r="L191" s="466"/>
      <c r="M191" s="466"/>
      <c r="N191" s="466"/>
    </row>
    <row r="192" spans="7:14">
      <c r="G192" s="466"/>
      <c r="H192" s="466"/>
      <c r="I192" s="466"/>
      <c r="J192" s="467"/>
      <c r="K192" s="466"/>
      <c r="L192" s="466"/>
      <c r="M192" s="466"/>
      <c r="N192" s="466"/>
    </row>
    <row r="193" spans="7:14">
      <c r="G193" s="466"/>
      <c r="H193" s="466"/>
      <c r="I193" s="466"/>
      <c r="J193" s="467"/>
      <c r="K193" s="466"/>
      <c r="L193" s="466"/>
      <c r="M193" s="466"/>
      <c r="N193" s="466"/>
    </row>
    <row r="194" spans="7:14">
      <c r="G194" s="466"/>
      <c r="H194" s="466"/>
      <c r="I194" s="466"/>
      <c r="J194" s="467"/>
      <c r="K194" s="466"/>
      <c r="L194" s="466"/>
      <c r="M194" s="466"/>
      <c r="N194" s="466"/>
    </row>
    <row r="195" spans="7:14">
      <c r="G195" s="466"/>
      <c r="H195" s="466"/>
      <c r="I195" s="466"/>
      <c r="J195" s="467"/>
      <c r="K195" s="466"/>
      <c r="L195" s="466"/>
      <c r="M195" s="466"/>
      <c r="N195" s="466"/>
    </row>
    <row r="196" spans="7:14">
      <c r="G196" s="466"/>
      <c r="H196" s="466"/>
      <c r="I196" s="466"/>
      <c r="J196" s="467"/>
      <c r="K196" s="466"/>
      <c r="L196" s="466"/>
      <c r="M196" s="466"/>
      <c r="N196" s="466"/>
    </row>
    <row r="197" spans="7:14">
      <c r="G197" s="466"/>
      <c r="H197" s="466"/>
      <c r="I197" s="466"/>
      <c r="J197" s="467"/>
      <c r="K197" s="466"/>
      <c r="L197" s="466"/>
      <c r="M197" s="466"/>
      <c r="N197" s="466"/>
    </row>
    <row r="198" spans="7:14">
      <c r="G198" s="466"/>
      <c r="H198" s="466"/>
      <c r="I198" s="466"/>
      <c r="J198" s="467"/>
      <c r="K198" s="466"/>
      <c r="L198" s="466"/>
      <c r="M198" s="466"/>
      <c r="N198" s="466"/>
    </row>
    <row r="199" spans="7:14">
      <c r="G199" s="466"/>
      <c r="H199" s="466"/>
      <c r="I199" s="466"/>
      <c r="J199" s="467"/>
      <c r="K199" s="466"/>
      <c r="L199" s="466"/>
      <c r="M199" s="466"/>
      <c r="N199" s="466"/>
    </row>
    <row r="200" spans="7:14">
      <c r="G200" s="466"/>
      <c r="H200" s="466"/>
      <c r="I200" s="466"/>
      <c r="J200" s="467"/>
      <c r="K200" s="466"/>
      <c r="L200" s="466"/>
      <c r="M200" s="466"/>
      <c r="N200" s="466"/>
    </row>
    <row r="201" spans="7:14">
      <c r="G201" s="466"/>
      <c r="H201" s="466"/>
      <c r="I201" s="466"/>
      <c r="J201" s="467"/>
      <c r="K201" s="466"/>
      <c r="L201" s="466"/>
      <c r="M201" s="466"/>
      <c r="N201" s="466"/>
    </row>
    <row r="202" spans="7:14">
      <c r="G202" s="466"/>
      <c r="H202" s="466"/>
      <c r="I202" s="466"/>
      <c r="J202" s="467"/>
      <c r="K202" s="466"/>
      <c r="L202" s="466"/>
      <c r="M202" s="466"/>
      <c r="N202" s="466"/>
    </row>
    <row r="203" spans="7:14">
      <c r="G203" s="466"/>
      <c r="H203" s="466"/>
      <c r="I203" s="466"/>
      <c r="J203" s="467"/>
      <c r="K203" s="466"/>
      <c r="L203" s="466"/>
      <c r="M203" s="466"/>
      <c r="N203" s="466"/>
    </row>
    <row r="204" spans="7:14">
      <c r="G204" s="466"/>
      <c r="H204" s="466"/>
      <c r="I204" s="466"/>
      <c r="J204" s="467"/>
      <c r="K204" s="466"/>
      <c r="L204" s="466"/>
      <c r="M204" s="466"/>
      <c r="N204" s="466"/>
    </row>
    <row r="205" spans="7:14">
      <c r="G205" s="466"/>
      <c r="H205" s="466"/>
      <c r="I205" s="466"/>
      <c r="J205" s="467"/>
      <c r="K205" s="466"/>
      <c r="L205" s="466"/>
      <c r="M205" s="466"/>
      <c r="N205" s="466"/>
    </row>
    <row r="206" spans="7:14">
      <c r="G206" s="466"/>
      <c r="H206" s="466"/>
      <c r="I206" s="466"/>
      <c r="J206" s="467"/>
      <c r="K206" s="466"/>
      <c r="L206" s="466"/>
      <c r="M206" s="466"/>
      <c r="N206" s="466"/>
    </row>
    <row r="207" spans="7:14">
      <c r="G207" s="466"/>
      <c r="H207" s="466"/>
      <c r="I207" s="466"/>
      <c r="J207" s="467"/>
      <c r="K207" s="466"/>
      <c r="L207" s="466"/>
      <c r="M207" s="466"/>
      <c r="N207" s="466"/>
    </row>
    <row r="208" spans="7:14">
      <c r="G208" s="466"/>
      <c r="H208" s="466"/>
      <c r="I208" s="466"/>
      <c r="J208" s="467"/>
      <c r="K208" s="466"/>
      <c r="L208" s="466"/>
      <c r="M208" s="466"/>
      <c r="N208" s="466"/>
    </row>
    <row r="209" spans="7:14">
      <c r="G209" s="466"/>
      <c r="H209" s="466"/>
      <c r="I209" s="466"/>
      <c r="J209" s="467"/>
      <c r="K209" s="466"/>
      <c r="L209" s="466"/>
      <c r="M209" s="466"/>
      <c r="N209" s="466"/>
    </row>
    <row r="210" spans="7:14">
      <c r="G210" s="466"/>
      <c r="H210" s="466"/>
      <c r="I210" s="466"/>
      <c r="J210" s="467"/>
      <c r="K210" s="466"/>
      <c r="L210" s="466"/>
      <c r="M210" s="466"/>
      <c r="N210" s="466"/>
    </row>
    <row r="211" spans="7:14">
      <c r="G211" s="466"/>
      <c r="H211" s="466"/>
      <c r="I211" s="466"/>
      <c r="J211" s="467"/>
      <c r="K211" s="466"/>
      <c r="L211" s="466"/>
      <c r="M211" s="466"/>
      <c r="N211" s="466"/>
    </row>
    <row r="212" spans="7:14">
      <c r="G212" s="466"/>
      <c r="H212" s="466"/>
      <c r="I212" s="466"/>
      <c r="J212" s="467"/>
      <c r="K212" s="466"/>
      <c r="L212" s="466"/>
      <c r="M212" s="466"/>
      <c r="N212" s="466"/>
    </row>
    <row r="213" spans="7:14">
      <c r="G213" s="466"/>
      <c r="H213" s="466"/>
      <c r="I213" s="466"/>
      <c r="J213" s="467"/>
      <c r="K213" s="466"/>
      <c r="L213" s="466"/>
      <c r="M213" s="466"/>
      <c r="N213" s="466"/>
    </row>
    <row r="214" spans="7:14">
      <c r="G214" s="466"/>
      <c r="H214" s="466"/>
      <c r="I214" s="466"/>
      <c r="J214" s="467"/>
      <c r="K214" s="466"/>
      <c r="L214" s="466"/>
      <c r="M214" s="466"/>
      <c r="N214" s="466"/>
    </row>
    <row r="215" spans="7:14">
      <c r="G215" s="466"/>
      <c r="H215" s="466"/>
      <c r="I215" s="466"/>
      <c r="J215" s="467"/>
      <c r="K215" s="466"/>
      <c r="L215" s="466"/>
      <c r="M215" s="466"/>
      <c r="N215" s="466"/>
    </row>
    <row r="216" spans="7:14">
      <c r="G216" s="466"/>
      <c r="H216" s="466"/>
      <c r="I216" s="466"/>
      <c r="J216" s="467"/>
      <c r="K216" s="466"/>
      <c r="L216" s="466"/>
      <c r="M216" s="466"/>
      <c r="N216" s="466"/>
    </row>
    <row r="217" spans="7:14">
      <c r="G217" s="466"/>
      <c r="H217" s="466"/>
      <c r="I217" s="466"/>
      <c r="J217" s="467"/>
      <c r="K217" s="466"/>
      <c r="L217" s="466"/>
      <c r="M217" s="466"/>
      <c r="N217" s="466"/>
    </row>
    <row r="218" spans="7:14">
      <c r="G218" s="466"/>
      <c r="H218" s="466"/>
      <c r="I218" s="466"/>
      <c r="J218" s="467"/>
      <c r="K218" s="466"/>
      <c r="L218" s="466"/>
      <c r="M218" s="466"/>
      <c r="N218" s="466"/>
    </row>
    <row r="219" spans="7:14">
      <c r="G219" s="466"/>
      <c r="H219" s="466"/>
      <c r="I219" s="466"/>
      <c r="J219" s="467"/>
      <c r="K219" s="466"/>
      <c r="L219" s="466"/>
      <c r="M219" s="466"/>
      <c r="N219" s="466"/>
    </row>
    <row r="220" spans="7:14">
      <c r="G220" s="466"/>
      <c r="H220" s="466"/>
      <c r="I220" s="466"/>
      <c r="J220" s="467"/>
      <c r="K220" s="466"/>
      <c r="L220" s="466"/>
      <c r="M220" s="466"/>
      <c r="N220" s="466"/>
    </row>
    <row r="221" spans="7:14">
      <c r="G221" s="466"/>
      <c r="H221" s="466"/>
      <c r="I221" s="466"/>
      <c r="J221" s="467"/>
      <c r="K221" s="466"/>
      <c r="L221" s="466"/>
      <c r="M221" s="466"/>
      <c r="N221" s="466"/>
    </row>
    <row r="222" spans="7:14">
      <c r="G222" s="466"/>
      <c r="H222" s="466"/>
      <c r="I222" s="466"/>
      <c r="J222" s="467"/>
      <c r="K222" s="466"/>
      <c r="L222" s="466"/>
      <c r="M222" s="466"/>
      <c r="N222" s="466"/>
    </row>
    <row r="223" spans="7:14">
      <c r="G223" s="466"/>
      <c r="H223" s="466"/>
      <c r="I223" s="466"/>
      <c r="J223" s="467"/>
      <c r="K223" s="466"/>
      <c r="L223" s="466"/>
      <c r="M223" s="466"/>
      <c r="N223" s="466"/>
    </row>
    <row r="224" spans="7:14">
      <c r="G224" s="466"/>
      <c r="H224" s="466"/>
      <c r="I224" s="466"/>
      <c r="J224" s="467"/>
      <c r="K224" s="466"/>
      <c r="L224" s="466"/>
      <c r="M224" s="466"/>
      <c r="N224" s="466"/>
    </row>
    <row r="225" spans="7:14">
      <c r="G225" s="466"/>
      <c r="H225" s="466"/>
      <c r="I225" s="466"/>
      <c r="J225" s="467"/>
      <c r="K225" s="466"/>
      <c r="L225" s="466"/>
      <c r="M225" s="466"/>
      <c r="N225" s="466"/>
    </row>
    <row r="226" spans="7:14">
      <c r="G226" s="466"/>
      <c r="H226" s="466"/>
      <c r="I226" s="466"/>
      <c r="J226" s="467"/>
      <c r="K226" s="466"/>
      <c r="L226" s="466"/>
      <c r="M226" s="466"/>
      <c r="N226" s="466"/>
    </row>
    <row r="227" spans="7:14">
      <c r="G227" s="466"/>
      <c r="H227" s="466"/>
      <c r="I227" s="466"/>
      <c r="J227" s="467"/>
      <c r="K227" s="466"/>
      <c r="L227" s="466"/>
      <c r="M227" s="466"/>
      <c r="N227" s="466"/>
    </row>
    <row r="228" spans="7:14">
      <c r="G228" s="466"/>
      <c r="H228" s="466"/>
      <c r="I228" s="466"/>
      <c r="J228" s="467"/>
      <c r="K228" s="466"/>
      <c r="L228" s="466"/>
      <c r="M228" s="466"/>
      <c r="N228" s="466"/>
    </row>
    <row r="229" spans="7:14">
      <c r="G229" s="466"/>
      <c r="H229" s="466"/>
      <c r="I229" s="466"/>
      <c r="J229" s="467"/>
      <c r="K229" s="466"/>
      <c r="L229" s="466"/>
      <c r="M229" s="466"/>
      <c r="N229" s="466"/>
    </row>
    <row r="230" spans="7:14">
      <c r="G230" s="466"/>
      <c r="H230" s="466"/>
      <c r="I230" s="466"/>
      <c r="J230" s="467"/>
      <c r="K230" s="466"/>
      <c r="L230" s="466"/>
      <c r="M230" s="466"/>
      <c r="N230" s="466"/>
    </row>
    <row r="231" spans="7:14">
      <c r="G231" s="466"/>
      <c r="H231" s="466"/>
      <c r="I231" s="466"/>
      <c r="J231" s="467"/>
      <c r="K231" s="466"/>
      <c r="L231" s="466"/>
      <c r="M231" s="466"/>
      <c r="N231" s="466"/>
    </row>
    <row r="232" spans="7:14">
      <c r="G232" s="466"/>
      <c r="H232" s="466"/>
      <c r="I232" s="466"/>
      <c r="J232" s="467"/>
      <c r="K232" s="466"/>
      <c r="L232" s="466"/>
      <c r="M232" s="466"/>
      <c r="N232" s="466"/>
    </row>
    <row r="233" spans="7:14">
      <c r="G233" s="466"/>
      <c r="H233" s="466"/>
      <c r="I233" s="466"/>
      <c r="J233" s="467"/>
      <c r="K233" s="466"/>
      <c r="L233" s="466"/>
      <c r="M233" s="466"/>
      <c r="N233" s="466"/>
    </row>
    <row r="234" spans="7:14">
      <c r="G234" s="466"/>
      <c r="H234" s="466"/>
      <c r="I234" s="466"/>
      <c r="J234" s="467"/>
      <c r="K234" s="466"/>
      <c r="L234" s="466"/>
      <c r="M234" s="466"/>
      <c r="N234" s="466"/>
    </row>
    <row r="235" spans="7:14">
      <c r="G235" s="466"/>
      <c r="H235" s="466"/>
      <c r="I235" s="466"/>
      <c r="J235" s="467"/>
      <c r="K235" s="466"/>
      <c r="L235" s="466"/>
      <c r="M235" s="466"/>
      <c r="N235" s="466"/>
    </row>
    <row r="236" spans="7:14">
      <c r="G236" s="466"/>
      <c r="H236" s="466"/>
      <c r="I236" s="466"/>
      <c r="J236" s="467"/>
      <c r="K236" s="466"/>
      <c r="L236" s="466"/>
      <c r="M236" s="466"/>
      <c r="N236" s="466"/>
    </row>
    <row r="237" spans="7:14">
      <c r="G237" s="466"/>
      <c r="H237" s="466"/>
      <c r="I237" s="466"/>
      <c r="J237" s="467"/>
      <c r="K237" s="466"/>
      <c r="L237" s="466"/>
      <c r="M237" s="466"/>
      <c r="N237" s="466"/>
    </row>
    <row r="238" spans="7:14">
      <c r="G238" s="466"/>
      <c r="H238" s="466"/>
      <c r="I238" s="466"/>
      <c r="J238" s="467"/>
      <c r="K238" s="466"/>
      <c r="L238" s="466"/>
      <c r="M238" s="466"/>
      <c r="N238" s="466"/>
    </row>
    <row r="239" spans="7:14">
      <c r="G239" s="466"/>
      <c r="H239" s="466"/>
      <c r="I239" s="466"/>
      <c r="J239" s="467"/>
      <c r="K239" s="466"/>
      <c r="L239" s="466"/>
      <c r="M239" s="466"/>
      <c r="N239" s="466"/>
    </row>
    <row r="240" spans="7:14">
      <c r="G240" s="466"/>
      <c r="H240" s="466"/>
      <c r="I240" s="466"/>
      <c r="J240" s="467"/>
      <c r="K240" s="466"/>
      <c r="L240" s="466"/>
      <c r="M240" s="466"/>
      <c r="N240" s="466"/>
    </row>
    <row r="241" spans="7:14">
      <c r="G241" s="466"/>
      <c r="H241" s="466"/>
      <c r="I241" s="466"/>
      <c r="J241" s="467"/>
      <c r="K241" s="466"/>
      <c r="L241" s="466"/>
      <c r="M241" s="466"/>
      <c r="N241" s="466"/>
    </row>
    <row r="242" spans="7:14">
      <c r="G242" s="466"/>
      <c r="H242" s="466"/>
      <c r="I242" s="466"/>
      <c r="J242" s="467"/>
      <c r="K242" s="466"/>
      <c r="L242" s="466"/>
      <c r="M242" s="466"/>
      <c r="N242" s="466"/>
    </row>
    <row r="243" spans="7:14">
      <c r="G243" s="466"/>
      <c r="H243" s="466"/>
      <c r="I243" s="466"/>
      <c r="J243" s="467"/>
      <c r="K243" s="466"/>
      <c r="L243" s="466"/>
      <c r="M243" s="466"/>
      <c r="N243" s="466"/>
    </row>
    <row r="244" spans="7:14">
      <c r="G244" s="466"/>
      <c r="H244" s="466"/>
      <c r="I244" s="466"/>
      <c r="J244" s="467"/>
      <c r="K244" s="466"/>
      <c r="L244" s="466"/>
      <c r="M244" s="466"/>
      <c r="N244" s="466"/>
    </row>
    <row r="245" spans="7:14">
      <c r="G245" s="466"/>
      <c r="H245" s="466"/>
      <c r="I245" s="466"/>
      <c r="J245" s="467"/>
      <c r="K245" s="466"/>
      <c r="L245" s="466"/>
      <c r="M245" s="466"/>
      <c r="N245" s="466"/>
    </row>
    <row r="246" spans="7:14">
      <c r="G246" s="466"/>
      <c r="H246" s="466"/>
      <c r="I246" s="466"/>
      <c r="J246" s="467"/>
      <c r="K246" s="466"/>
      <c r="L246" s="466"/>
      <c r="M246" s="466"/>
      <c r="N246" s="466"/>
    </row>
    <row r="247" spans="7:14">
      <c r="G247" s="466"/>
      <c r="H247" s="466"/>
      <c r="I247" s="466"/>
      <c r="J247" s="467"/>
      <c r="K247" s="466"/>
      <c r="L247" s="466"/>
      <c r="M247" s="466"/>
      <c r="N247" s="466"/>
    </row>
    <row r="248" spans="7:14">
      <c r="G248" s="466"/>
      <c r="H248" s="466"/>
      <c r="I248" s="466"/>
      <c r="J248" s="467"/>
      <c r="K248" s="466"/>
      <c r="L248" s="466"/>
      <c r="M248" s="466"/>
      <c r="N248" s="466"/>
    </row>
    <row r="249" spans="7:14">
      <c r="G249" s="466"/>
      <c r="H249" s="466"/>
      <c r="I249" s="466"/>
      <c r="J249" s="467"/>
      <c r="K249" s="466"/>
      <c r="L249" s="466"/>
      <c r="M249" s="466"/>
      <c r="N249" s="466"/>
    </row>
    <row r="250" spans="7:14">
      <c r="G250" s="466"/>
      <c r="H250" s="466"/>
      <c r="I250" s="466"/>
      <c r="J250" s="467"/>
      <c r="K250" s="466"/>
      <c r="L250" s="466"/>
      <c r="M250" s="466"/>
      <c r="N250" s="466"/>
    </row>
    <row r="251" spans="7:14">
      <c r="G251" s="466"/>
      <c r="H251" s="466"/>
      <c r="I251" s="466"/>
      <c r="J251" s="467"/>
      <c r="K251" s="466"/>
      <c r="L251" s="466"/>
      <c r="M251" s="466"/>
      <c r="N251" s="466"/>
    </row>
    <row r="252" spans="7:14">
      <c r="G252" s="466"/>
      <c r="H252" s="466"/>
      <c r="I252" s="466"/>
      <c r="J252" s="467"/>
      <c r="K252" s="466"/>
      <c r="L252" s="466"/>
      <c r="M252" s="466"/>
      <c r="N252" s="466"/>
    </row>
    <row r="253" spans="7:14">
      <c r="G253" s="466"/>
      <c r="H253" s="466"/>
      <c r="I253" s="466"/>
      <c r="J253" s="467"/>
      <c r="K253" s="466"/>
      <c r="L253" s="466"/>
      <c r="M253" s="466"/>
      <c r="N253" s="466"/>
    </row>
    <row r="254" spans="7:14">
      <c r="G254" s="466"/>
      <c r="H254" s="466"/>
      <c r="I254" s="466"/>
      <c r="J254" s="467"/>
      <c r="K254" s="466"/>
      <c r="L254" s="466"/>
      <c r="M254" s="466"/>
      <c r="N254" s="466"/>
    </row>
    <row r="255" spans="7:14">
      <c r="G255" s="466"/>
      <c r="H255" s="466"/>
      <c r="I255" s="466"/>
      <c r="J255" s="467"/>
      <c r="K255" s="466"/>
      <c r="L255" s="466"/>
      <c r="M255" s="466"/>
      <c r="N255" s="466"/>
    </row>
    <row r="256" spans="7:14">
      <c r="G256" s="466"/>
      <c r="H256" s="466"/>
      <c r="I256" s="466"/>
      <c r="J256" s="467"/>
      <c r="K256" s="466"/>
      <c r="L256" s="466"/>
      <c r="M256" s="466"/>
      <c r="N256" s="466"/>
    </row>
    <row r="257" spans="7:14">
      <c r="G257" s="466"/>
      <c r="H257" s="466"/>
      <c r="I257" s="466"/>
      <c r="J257" s="467"/>
      <c r="K257" s="466"/>
      <c r="L257" s="466"/>
      <c r="M257" s="466"/>
      <c r="N257" s="466"/>
    </row>
    <row r="258" spans="7:14">
      <c r="G258" s="466"/>
      <c r="H258" s="466"/>
      <c r="I258" s="466"/>
      <c r="J258" s="467"/>
      <c r="K258" s="466"/>
      <c r="L258" s="466"/>
      <c r="M258" s="466"/>
      <c r="N258" s="466"/>
    </row>
    <row r="259" spans="7:14">
      <c r="G259" s="466"/>
      <c r="H259" s="466"/>
      <c r="I259" s="466"/>
      <c r="J259" s="467"/>
      <c r="K259" s="466"/>
      <c r="L259" s="466"/>
      <c r="M259" s="466"/>
      <c r="N259" s="466"/>
    </row>
    <row r="260" spans="7:14">
      <c r="G260" s="466"/>
      <c r="H260" s="466"/>
      <c r="I260" s="466"/>
      <c r="J260" s="467"/>
      <c r="K260" s="466"/>
      <c r="L260" s="466"/>
      <c r="M260" s="466"/>
      <c r="N260" s="466"/>
    </row>
    <row r="261" spans="7:14">
      <c r="G261" s="466"/>
      <c r="H261" s="466"/>
      <c r="I261" s="466"/>
      <c r="J261" s="467"/>
      <c r="K261" s="466"/>
      <c r="L261" s="466"/>
      <c r="M261" s="466"/>
      <c r="N261" s="466"/>
    </row>
    <row r="262" spans="7:14">
      <c r="G262" s="466"/>
      <c r="H262" s="466"/>
      <c r="I262" s="466"/>
      <c r="J262" s="467"/>
      <c r="K262" s="466"/>
      <c r="L262" s="466"/>
      <c r="M262" s="466"/>
      <c r="N262" s="466"/>
    </row>
    <row r="263" spans="7:14">
      <c r="G263" s="466"/>
      <c r="H263" s="466"/>
      <c r="I263" s="466"/>
      <c r="J263" s="467"/>
      <c r="K263" s="466"/>
      <c r="L263" s="466"/>
      <c r="M263" s="466"/>
      <c r="N263" s="466"/>
    </row>
    <row r="264" spans="7:14">
      <c r="G264" s="466"/>
      <c r="H264" s="466"/>
      <c r="I264" s="466"/>
      <c r="J264" s="467"/>
      <c r="K264" s="466"/>
      <c r="L264" s="466"/>
      <c r="M264" s="466"/>
      <c r="N264" s="466"/>
    </row>
    <row r="265" spans="7:14">
      <c r="G265" s="466"/>
      <c r="H265" s="466"/>
      <c r="I265" s="466"/>
      <c r="J265" s="467"/>
      <c r="K265" s="466"/>
      <c r="L265" s="466"/>
      <c r="M265" s="466"/>
      <c r="N265" s="466"/>
    </row>
    <row r="266" spans="7:14">
      <c r="G266" s="466"/>
      <c r="H266" s="466"/>
      <c r="I266" s="466"/>
      <c r="J266" s="467"/>
      <c r="K266" s="466"/>
      <c r="L266" s="466"/>
      <c r="M266" s="466"/>
      <c r="N266" s="466"/>
    </row>
    <row r="267" spans="7:14">
      <c r="G267" s="466"/>
      <c r="H267" s="466"/>
      <c r="I267" s="466"/>
      <c r="J267" s="467"/>
      <c r="K267" s="466"/>
      <c r="L267" s="466"/>
      <c r="M267" s="466"/>
      <c r="N267" s="466"/>
    </row>
    <row r="268" spans="7:14">
      <c r="G268" s="466"/>
      <c r="H268" s="466"/>
      <c r="I268" s="466"/>
      <c r="J268" s="467"/>
      <c r="K268" s="466"/>
      <c r="L268" s="466"/>
      <c r="M268" s="466"/>
      <c r="N268" s="466"/>
    </row>
    <row r="269" spans="7:14">
      <c r="G269" s="466"/>
      <c r="H269" s="466"/>
      <c r="I269" s="466"/>
      <c r="J269" s="467"/>
      <c r="K269" s="466"/>
      <c r="L269" s="466"/>
      <c r="M269" s="466"/>
      <c r="N269" s="466"/>
    </row>
    <row r="270" spans="7:14">
      <c r="G270" s="466"/>
      <c r="H270" s="466"/>
      <c r="I270" s="466"/>
      <c r="J270" s="467"/>
      <c r="K270" s="466"/>
      <c r="L270" s="466"/>
      <c r="M270" s="466"/>
      <c r="N270" s="466"/>
    </row>
    <row r="271" spans="7:14">
      <c r="G271" s="466"/>
      <c r="H271" s="466"/>
      <c r="I271" s="466"/>
      <c r="J271" s="467"/>
      <c r="K271" s="466"/>
      <c r="L271" s="466"/>
      <c r="M271" s="466"/>
      <c r="N271" s="466"/>
    </row>
  </sheetData>
  <sheetProtection algorithmName="SHA-512" hashValue="Hx0p8Bppkxf4Z8BHexuJrcdSGxggOHu0pCzVzWaUfWe6RnRCaX0knu+NiM6F9an+/2cLismtZSM/TzvC63s2ag==" saltValue="V54RPyC3orMkqoZ+1+nYfg==" spinCount="100000" sheet="1" objects="1" scenarios="1"/>
  <mergeCells count="49">
    <mergeCell ref="H32:I32"/>
    <mergeCell ref="H33:I33"/>
    <mergeCell ref="H34:I34"/>
    <mergeCell ref="H42:I42"/>
    <mergeCell ref="H40:I40"/>
    <mergeCell ref="H41:I41"/>
    <mergeCell ref="H35:I35"/>
    <mergeCell ref="H36:I36"/>
    <mergeCell ref="H37:I37"/>
    <mergeCell ref="H38:I38"/>
    <mergeCell ref="H39:I39"/>
    <mergeCell ref="H30:I30"/>
    <mergeCell ref="L1:N4"/>
    <mergeCell ref="I53:J53"/>
    <mergeCell ref="G53:H53"/>
    <mergeCell ref="G16:G28"/>
    <mergeCell ref="G30:G42"/>
    <mergeCell ref="H17:I17"/>
    <mergeCell ref="H18:I18"/>
    <mergeCell ref="H19:I19"/>
    <mergeCell ref="G44:J44"/>
    <mergeCell ref="G45:J51"/>
    <mergeCell ref="G6:J6"/>
    <mergeCell ref="H20:I20"/>
    <mergeCell ref="H21:I21"/>
    <mergeCell ref="H22:I22"/>
    <mergeCell ref="H31:I31"/>
    <mergeCell ref="B30:E33"/>
    <mergeCell ref="B35:E36"/>
    <mergeCell ref="B38:E39"/>
    <mergeCell ref="B41:E41"/>
    <mergeCell ref="J1:J4"/>
    <mergeCell ref="G9:G14"/>
    <mergeCell ref="H9:H14"/>
    <mergeCell ref="G2:H2"/>
    <mergeCell ref="G3:H3"/>
    <mergeCell ref="G4:H4"/>
    <mergeCell ref="H23:I23"/>
    <mergeCell ref="H24:I24"/>
    <mergeCell ref="H25:I25"/>
    <mergeCell ref="H26:I26"/>
    <mergeCell ref="H28:I28"/>
    <mergeCell ref="H27:I27"/>
    <mergeCell ref="I1:I2"/>
    <mergeCell ref="I3:I4"/>
    <mergeCell ref="E16:E17"/>
    <mergeCell ref="B24:E25"/>
    <mergeCell ref="B27:E27"/>
    <mergeCell ref="H16:I16"/>
  </mergeCells>
  <pageMargins left="0.23622047244094491" right="0.23622047244094491" top="0.35433070866141736" bottom="0.35433070866141736" header="0" footer="0"/>
  <pageSetup paperSize="9" orientation="portrait" r:id="rId1"/>
  <ignoredErrors>
    <ignoredError sqref="H20"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6"/>
  <dimension ref="A1:EG118"/>
  <sheetViews>
    <sheetView zoomScaleNormal="100" workbookViewId="0">
      <selection activeCell="I32" sqref="I32"/>
    </sheetView>
  </sheetViews>
  <sheetFormatPr baseColWidth="10" defaultRowHeight="15"/>
  <cols>
    <col min="3" max="3" width="6.5703125" customWidth="1"/>
    <col min="5" max="5" width="64.7109375" customWidth="1"/>
  </cols>
  <sheetData>
    <row r="1" spans="1:137" ht="15" customHeight="1">
      <c r="A1" s="1"/>
      <c r="B1" s="822" t="s">
        <v>479</v>
      </c>
      <c r="C1" s="822"/>
      <c r="D1" s="822"/>
      <c r="E1" s="822"/>
      <c r="F1" s="822"/>
      <c r="G1" s="822"/>
      <c r="H1" s="6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row>
    <row r="2" spans="1:137" ht="15" customHeight="1" thickBot="1">
      <c r="A2" s="1"/>
      <c r="B2" s="823" t="s">
        <v>480</v>
      </c>
      <c r="C2" s="824"/>
      <c r="D2" s="825" t="s">
        <v>481</v>
      </c>
      <c r="E2" s="826"/>
      <c r="F2" s="60" t="s">
        <v>482</v>
      </c>
      <c r="G2" s="62"/>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row>
    <row r="3" spans="1:137">
      <c r="A3" s="1"/>
      <c r="B3" s="818">
        <v>43423</v>
      </c>
      <c r="C3" s="827"/>
      <c r="D3" s="814" t="s">
        <v>812</v>
      </c>
      <c r="E3" s="815"/>
      <c r="F3" s="828" t="s">
        <v>801</v>
      </c>
      <c r="G3" s="829"/>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row>
    <row r="4" spans="1:137">
      <c r="A4" s="1"/>
      <c r="B4" s="818">
        <v>43433</v>
      </c>
      <c r="C4" s="815"/>
      <c r="D4" s="814" t="s">
        <v>810</v>
      </c>
      <c r="E4" s="815"/>
      <c r="F4" s="820" t="s">
        <v>801</v>
      </c>
      <c r="G4" s="82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row>
    <row r="5" spans="1:137">
      <c r="A5" s="1"/>
      <c r="B5" s="818">
        <v>43433</v>
      </c>
      <c r="C5" s="815"/>
      <c r="D5" s="814" t="s">
        <v>811</v>
      </c>
      <c r="E5" s="815"/>
      <c r="F5" s="820" t="s">
        <v>801</v>
      </c>
      <c r="G5" s="82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row>
    <row r="6" spans="1:137">
      <c r="A6" s="1"/>
      <c r="B6" s="818">
        <v>43433</v>
      </c>
      <c r="C6" s="815"/>
      <c r="D6" s="819" t="s">
        <v>814</v>
      </c>
      <c r="E6" s="815"/>
      <c r="F6" s="820" t="s">
        <v>813</v>
      </c>
      <c r="G6" s="82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row>
    <row r="7" spans="1:137">
      <c r="A7" s="1"/>
      <c r="B7" s="814"/>
      <c r="C7" s="815"/>
      <c r="D7" s="814"/>
      <c r="E7" s="815"/>
      <c r="F7" s="814"/>
      <c r="G7" s="815"/>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row>
    <row r="8" spans="1:137">
      <c r="A8" s="1"/>
      <c r="B8" s="814"/>
      <c r="C8" s="815"/>
      <c r="D8" s="814"/>
      <c r="E8" s="815"/>
      <c r="F8" s="814"/>
      <c r="G8" s="815"/>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row>
    <row r="9" spans="1:137">
      <c r="A9" s="1"/>
      <c r="B9" s="814"/>
      <c r="C9" s="815"/>
      <c r="D9" s="814"/>
      <c r="E9" s="815"/>
      <c r="F9" s="814"/>
      <c r="G9" s="815"/>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row>
    <row r="10" spans="1:137">
      <c r="A10" s="1"/>
      <c r="B10" s="814"/>
      <c r="C10" s="815"/>
      <c r="D10" s="814"/>
      <c r="E10" s="815"/>
      <c r="F10" s="814"/>
      <c r="G10" s="815"/>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row>
    <row r="11" spans="1:137">
      <c r="A11" s="1"/>
      <c r="B11" s="814"/>
      <c r="C11" s="815"/>
      <c r="D11" s="814"/>
      <c r="E11" s="815"/>
      <c r="F11" s="814"/>
      <c r="G11" s="815"/>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row>
    <row r="12" spans="1:137" ht="15.75" thickBot="1">
      <c r="A12" s="1"/>
      <c r="B12" s="816"/>
      <c r="C12" s="817"/>
      <c r="D12" s="816"/>
      <c r="E12" s="817"/>
      <c r="F12" s="816"/>
      <c r="G12" s="817"/>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row>
    <row r="13" spans="1:137">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row>
    <row r="14" spans="1:137">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row>
    <row r="15" spans="1:137">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row>
    <row r="16" spans="1:137">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row>
    <row r="17" spans="1:13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row>
    <row r="18" spans="1:137">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row>
    <row r="19" spans="1:137">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row>
    <row r="20" spans="1:137">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row>
    <row r="21" spans="1:137">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row>
    <row r="22" spans="1:137">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row>
    <row r="23" spans="1:137">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row>
    <row r="24" spans="1:137">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row>
    <row r="25" spans="1:137">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row>
    <row r="26" spans="1:137">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row>
    <row r="27" spans="1:13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row>
    <row r="28" spans="1:137">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row>
    <row r="29" spans="1:137">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row>
    <row r="30" spans="1:137">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row>
    <row r="31" spans="1:137">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row>
    <row r="32" spans="1:137">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row>
    <row r="33" spans="1:137">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row>
    <row r="34" spans="1:137">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row>
    <row r="35" spans="1:137">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row>
    <row r="36" spans="1:137">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row>
    <row r="37" spans="1:1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row>
    <row r="38" spans="1:137">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row>
    <row r="39" spans="1:137">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row>
    <row r="40" spans="1:137">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row>
    <row r="41" spans="1:137">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row>
    <row r="42" spans="1:137">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row>
    <row r="43" spans="1:137">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row>
    <row r="44" spans="1:137">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row>
    <row r="45" spans="1:137">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row>
    <row r="46" spans="1:137">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row>
    <row r="47" spans="1:13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row>
    <row r="48" spans="1:137">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row>
    <row r="49" spans="1:137">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row>
    <row r="50" spans="1:137">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row>
    <row r="51" spans="1:137">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row>
    <row r="52" spans="1:137">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row>
    <row r="53" spans="1:137">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row>
    <row r="54" spans="1:137">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row>
    <row r="55" spans="1:137">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row>
    <row r="56" spans="1:137">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row>
    <row r="57" spans="1:13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row>
    <row r="58" spans="1:137">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row>
    <row r="59" spans="1:137">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row>
    <row r="60" spans="1:137">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row>
    <row r="61" spans="1:137">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row>
    <row r="62" spans="1:137">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row>
    <row r="63" spans="1:137">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row>
    <row r="64" spans="1:137">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row>
    <row r="65" spans="1:137">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row>
    <row r="66" spans="1:137">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row>
    <row r="67" spans="1:13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row>
    <row r="68" spans="1:137">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row>
    <row r="69" spans="1:137">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row>
    <row r="70" spans="1:137">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row>
    <row r="71" spans="1:137">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row>
    <row r="72" spans="1:137">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row>
    <row r="73" spans="1:137">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row>
    <row r="74" spans="1:137">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row>
    <row r="75" spans="1:137">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row>
    <row r="76" spans="1:137">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row>
    <row r="77" spans="1:13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row>
    <row r="78" spans="1:137">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row>
    <row r="79" spans="1:137">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row>
    <row r="80" spans="1:137">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row>
    <row r="81" spans="1:137">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row>
    <row r="82" spans="1:137">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row>
    <row r="83" spans="1:137">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row>
    <row r="84" spans="1:137">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row>
    <row r="85" spans="1:137">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row>
    <row r="86" spans="1:137">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row>
    <row r="87" spans="1:13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row>
    <row r="88" spans="1:137">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row>
    <row r="89" spans="1:137">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row>
    <row r="90" spans="1:137">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row>
    <row r="91" spans="1:137">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row>
    <row r="92" spans="1:137">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row>
    <row r="93" spans="1:137">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row>
    <row r="94" spans="1:137">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row>
    <row r="95" spans="1:137">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row>
    <row r="96" spans="1:137">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row>
    <row r="97" spans="1:13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row>
    <row r="98" spans="1:137">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row>
    <row r="99" spans="1:137">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row>
    <row r="100" spans="1:137">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row>
    <row r="101" spans="1:137">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row>
    <row r="102" spans="1:13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row>
    <row r="103" spans="1:13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row>
    <row r="104" spans="1:13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row>
    <row r="105" spans="1:13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row>
    <row r="106" spans="1:13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row>
    <row r="107" spans="1:13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row>
    <row r="108" spans="1:13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row>
    <row r="109" spans="1:13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row>
    <row r="110" spans="1:13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row>
    <row r="111" spans="1:13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row>
    <row r="112" spans="1:13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row>
    <row r="113" spans="1:13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row>
    <row r="114" spans="1:13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row>
    <row r="115" spans="1:13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row>
    <row r="116" spans="1:13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row>
    <row r="117" spans="1:13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row>
    <row r="118" spans="1:13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row>
  </sheetData>
  <sheetProtection algorithmName="SHA-512" hashValue="xlE54zk2a4wXGAnDW6aKNb5R28dea4W5UYPs05s09HtpUezFEWbEAisjVi1tX+s93/Rs5R/UiUI3+99Ft8udUg==" saltValue="y8866LnxIO1GtoxyYtMwVA==" spinCount="100000" sheet="1" objects="1" scenarios="1"/>
  <mergeCells count="33">
    <mergeCell ref="F8:G8"/>
    <mergeCell ref="B1:G1"/>
    <mergeCell ref="B2:C2"/>
    <mergeCell ref="D2:E2"/>
    <mergeCell ref="B3:C3"/>
    <mergeCell ref="D3:E3"/>
    <mergeCell ref="F3:G3"/>
    <mergeCell ref="F5:G5"/>
    <mergeCell ref="F9:G9"/>
    <mergeCell ref="F10:G10"/>
    <mergeCell ref="F11:G11"/>
    <mergeCell ref="F12:G12"/>
    <mergeCell ref="D4:E4"/>
    <mergeCell ref="D5:E5"/>
    <mergeCell ref="D6:E6"/>
    <mergeCell ref="D7:E7"/>
    <mergeCell ref="D8:E8"/>
    <mergeCell ref="D9:E9"/>
    <mergeCell ref="D10:E10"/>
    <mergeCell ref="D11:E11"/>
    <mergeCell ref="D12:E12"/>
    <mergeCell ref="F4:G4"/>
    <mergeCell ref="F6:G6"/>
    <mergeCell ref="F7:G7"/>
    <mergeCell ref="B9:C9"/>
    <mergeCell ref="B10:C10"/>
    <mergeCell ref="B11:C11"/>
    <mergeCell ref="B12:C12"/>
    <mergeCell ref="B4:C4"/>
    <mergeCell ref="B5:C5"/>
    <mergeCell ref="B6:C6"/>
    <mergeCell ref="B7:C7"/>
    <mergeCell ref="B8:C8"/>
  </mergeCells>
  <pageMargins left="0.7" right="0.7" top="0.78740157499999996" bottom="0.78740157499999996"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7"/>
  <dimension ref="A1:CW182"/>
  <sheetViews>
    <sheetView topLeftCell="U2" zoomScale="62" zoomScaleNormal="55" workbookViewId="0">
      <selection activeCell="AF32" sqref="AF31:AF32"/>
    </sheetView>
  </sheetViews>
  <sheetFormatPr baseColWidth="10" defaultRowHeight="15"/>
  <cols>
    <col min="1" max="1" width="26.85546875" customWidth="1"/>
    <col min="2" max="2" width="34" customWidth="1"/>
    <col min="3" max="4" width="14.28515625" customWidth="1"/>
    <col min="5" max="5" width="16.85546875" customWidth="1"/>
    <col min="6" max="6" width="32.7109375" customWidth="1"/>
    <col min="7" max="7" width="15.140625" customWidth="1"/>
    <col min="8" max="8" width="28.28515625" customWidth="1"/>
    <col min="10" max="10" width="14.7109375" customWidth="1"/>
    <col min="11" max="11" width="21" customWidth="1"/>
    <col min="12" max="12" width="29" customWidth="1"/>
    <col min="13" max="13" width="12.5703125" customWidth="1"/>
    <col min="14" max="14" width="18.42578125" customWidth="1"/>
    <col min="15" max="15" width="27.5703125" customWidth="1"/>
    <col min="16" max="16" width="29.140625" customWidth="1"/>
    <col min="17" max="17" width="20" customWidth="1"/>
    <col min="18" max="18" width="33.85546875" customWidth="1"/>
    <col min="19" max="19" width="35.28515625" customWidth="1"/>
    <col min="20" max="21" width="30.42578125" customWidth="1"/>
    <col min="22" max="22" width="36.140625" customWidth="1"/>
    <col min="23" max="23" width="32.7109375" customWidth="1"/>
    <col min="24" max="24" width="20.140625" customWidth="1"/>
    <col min="25" max="25" width="27.28515625" customWidth="1"/>
    <col min="26" max="26" width="25.28515625" customWidth="1"/>
    <col min="31" max="31" width="56.85546875" customWidth="1"/>
    <col min="32" max="32" width="24.140625" customWidth="1"/>
    <col min="33" max="33" width="13.7109375" customWidth="1"/>
    <col min="34" max="34" width="22.85546875" customWidth="1"/>
    <col min="38" max="38" width="29.7109375" customWidth="1"/>
    <col min="39" max="40" width="28.85546875" customWidth="1"/>
    <col min="41" max="41" width="29.42578125" customWidth="1"/>
    <col min="42" max="42" width="25.140625" customWidth="1"/>
    <col min="43" max="43" width="24.28515625" customWidth="1"/>
    <col min="44" max="44" width="24.28515625" style="523" customWidth="1"/>
    <col min="45" max="45" width="19" customWidth="1"/>
    <col min="46" max="46" width="17.140625" customWidth="1"/>
    <col min="47" max="47" width="35.7109375" customWidth="1"/>
    <col min="48" max="48" width="33" customWidth="1"/>
    <col min="50" max="50" width="53" customWidth="1"/>
    <col min="51" max="51" width="20.42578125" customWidth="1"/>
    <col min="52" max="52" width="32.5703125" customWidth="1"/>
  </cols>
  <sheetData>
    <row r="1" spans="1:101" ht="15" customHeight="1">
      <c r="A1" s="634" t="s">
        <v>156</v>
      </c>
      <c r="B1" s="634"/>
      <c r="C1" s="634"/>
      <c r="D1" s="634"/>
      <c r="E1" s="634"/>
      <c r="F1" s="1"/>
      <c r="G1" s="1"/>
      <c r="H1" s="634" t="s">
        <v>175</v>
      </c>
      <c r="I1" s="634"/>
      <c r="J1" s="634"/>
      <c r="K1" s="634"/>
      <c r="L1" s="26"/>
      <c r="M1" s="26"/>
      <c r="N1" s="634" t="s">
        <v>155</v>
      </c>
      <c r="O1" s="634"/>
      <c r="P1" s="634"/>
      <c r="Q1" s="634"/>
      <c r="R1" s="1"/>
      <c r="S1" s="1"/>
      <c r="T1" s="1"/>
      <c r="U1" s="1"/>
      <c r="V1" s="1"/>
      <c r="W1" s="1"/>
      <c r="X1" s="1"/>
      <c r="Y1" s="1"/>
      <c r="Z1" s="1"/>
      <c r="AA1" s="1"/>
      <c r="AB1" s="1"/>
      <c r="AC1" s="1"/>
      <c r="AD1" s="1"/>
      <c r="AE1" s="840" t="s">
        <v>554</v>
      </c>
      <c r="AF1" s="840"/>
      <c r="AG1" s="840"/>
      <c r="AH1" s="1"/>
      <c r="AI1" s="1"/>
      <c r="AJ1" s="1"/>
      <c r="AK1" s="756" t="s">
        <v>538</v>
      </c>
      <c r="AL1" s="756"/>
      <c r="AM1" s="756"/>
      <c r="AN1" s="756"/>
      <c r="AO1" s="756"/>
      <c r="AP1" s="756"/>
      <c r="AQ1" s="1"/>
      <c r="AR1" s="1"/>
      <c r="AS1" s="1"/>
      <c r="AT1" s="1"/>
      <c r="AU1" s="1"/>
      <c r="AV1" s="1"/>
      <c r="AW1" s="1"/>
      <c r="AX1" s="830" t="s">
        <v>571</v>
      </c>
      <c r="AY1" s="830"/>
      <c r="AZ1" s="830"/>
      <c r="BA1" s="830"/>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row>
    <row r="2" spans="1:101" ht="15.75" thickBot="1">
      <c r="A2" s="634"/>
      <c r="B2" s="634"/>
      <c r="C2" s="634"/>
      <c r="D2" s="634"/>
      <c r="E2" s="634"/>
      <c r="F2" s="1"/>
      <c r="G2" s="1"/>
      <c r="H2" s="634"/>
      <c r="I2" s="634"/>
      <c r="J2" s="634"/>
      <c r="K2" s="634"/>
      <c r="L2" s="26"/>
      <c r="M2" s="26"/>
      <c r="N2" s="634"/>
      <c r="O2" s="634"/>
      <c r="P2" s="634"/>
      <c r="Q2" s="634"/>
      <c r="R2" s="1"/>
      <c r="S2" s="1"/>
      <c r="T2" s="1"/>
      <c r="U2" s="1"/>
      <c r="V2" s="1"/>
      <c r="W2" s="1"/>
      <c r="X2" s="1"/>
      <c r="Y2" s="1"/>
      <c r="Z2" s="1"/>
      <c r="AA2" s="1"/>
      <c r="AB2" s="1"/>
      <c r="AC2" s="1"/>
      <c r="AD2" s="1"/>
      <c r="AE2" s="840"/>
      <c r="AF2" s="840"/>
      <c r="AG2" s="840"/>
      <c r="AH2" s="1"/>
      <c r="AI2" s="1"/>
      <c r="AJ2" s="1"/>
      <c r="AK2" s="756"/>
      <c r="AL2" s="756"/>
      <c r="AM2" s="756"/>
      <c r="AN2" s="756"/>
      <c r="AO2" s="756"/>
      <c r="AP2" s="756"/>
      <c r="AQ2" s="1"/>
      <c r="AR2" s="1"/>
      <c r="AS2" s="1"/>
      <c r="AT2" s="1"/>
      <c r="AU2" s="1"/>
      <c r="AV2" s="1"/>
      <c r="AW2" s="1"/>
      <c r="AX2" s="830"/>
      <c r="AY2" s="830"/>
      <c r="AZ2" s="830"/>
      <c r="BA2" s="830"/>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row>
    <row r="3" spans="1:101" ht="19.5" thickBot="1">
      <c r="A3" s="1"/>
      <c r="B3" s="831" t="s">
        <v>164</v>
      </c>
      <c r="C3" s="832"/>
      <c r="D3" s="832"/>
      <c r="E3" s="832"/>
      <c r="F3" s="1"/>
      <c r="G3" s="1"/>
      <c r="H3" s="845" t="s">
        <v>159</v>
      </c>
      <c r="I3" s="832"/>
      <c r="J3" s="832"/>
      <c r="K3" s="846"/>
      <c r="L3" s="1"/>
      <c r="M3" s="1"/>
      <c r="N3" s="1"/>
      <c r="O3" s="1"/>
      <c r="P3" s="1"/>
      <c r="Q3" s="1"/>
      <c r="R3" s="1"/>
      <c r="S3" s="1"/>
      <c r="T3" s="1"/>
      <c r="U3" s="1"/>
      <c r="V3" s="1"/>
      <c r="W3" s="1"/>
      <c r="X3" s="1"/>
      <c r="Y3" s="1"/>
      <c r="Z3" s="1"/>
      <c r="AA3" s="1"/>
      <c r="AB3" s="1"/>
      <c r="AC3" s="1"/>
      <c r="AD3" s="1"/>
      <c r="AE3" s="1"/>
      <c r="AF3" s="1"/>
      <c r="AG3" s="1"/>
      <c r="AH3" s="1"/>
      <c r="AI3" s="1"/>
      <c r="AJ3" s="1"/>
      <c r="AK3" s="1"/>
      <c r="AL3" s="420" t="s">
        <v>179</v>
      </c>
      <c r="AM3" s="421" t="s">
        <v>539</v>
      </c>
      <c r="AN3" s="421" t="s">
        <v>546</v>
      </c>
      <c r="AO3" s="421" t="s">
        <v>540</v>
      </c>
      <c r="AP3" s="421" t="s">
        <v>541</v>
      </c>
      <c r="AQ3" s="422" t="s">
        <v>545</v>
      </c>
      <c r="AR3" s="422" t="s">
        <v>797</v>
      </c>
      <c r="AS3" s="421" t="s">
        <v>542</v>
      </c>
      <c r="AT3" s="421" t="s">
        <v>543</v>
      </c>
      <c r="AU3" s="421" t="s">
        <v>544</v>
      </c>
      <c r="AV3" s="423" t="s">
        <v>549</v>
      </c>
      <c r="AW3" s="1"/>
      <c r="AX3" s="5"/>
      <c r="AY3" s="6" t="s">
        <v>553</v>
      </c>
      <c r="AZ3" s="104" t="s">
        <v>568</v>
      </c>
      <c r="BA3" s="1"/>
      <c r="BB3" s="1"/>
      <c r="BC3" s="1"/>
      <c r="BD3" s="54"/>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row>
    <row r="4" spans="1:101" ht="19.5" thickBot="1">
      <c r="A4" s="1"/>
      <c r="B4" s="5" t="s">
        <v>166</v>
      </c>
      <c r="C4" s="6" t="s">
        <v>447</v>
      </c>
      <c r="D4" s="53" t="s">
        <v>165</v>
      </c>
      <c r="E4" s="104" t="s">
        <v>159</v>
      </c>
      <c r="F4" s="329" t="s">
        <v>579</v>
      </c>
      <c r="G4" s="1"/>
      <c r="H4" s="23"/>
      <c r="I4" s="12"/>
      <c r="J4" s="12" t="s">
        <v>159</v>
      </c>
      <c r="K4" s="327"/>
      <c r="L4" s="329" t="s">
        <v>579</v>
      </c>
      <c r="M4" s="1"/>
      <c r="N4" s="841" t="s">
        <v>155</v>
      </c>
      <c r="O4" s="841"/>
      <c r="P4" s="841"/>
      <c r="Q4" s="841"/>
      <c r="R4" s="841"/>
      <c r="S4" s="841"/>
      <c r="T4" s="841"/>
      <c r="U4" s="106"/>
      <c r="V4" s="841" t="s">
        <v>496</v>
      </c>
      <c r="W4" s="841"/>
      <c r="X4" s="841"/>
      <c r="Y4" s="841"/>
      <c r="Z4" s="841"/>
      <c r="AA4" s="841"/>
      <c r="AB4" s="841"/>
      <c r="AC4" s="1"/>
      <c r="AD4" s="1"/>
      <c r="AE4" s="114"/>
      <c r="AF4" s="724" t="s">
        <v>159</v>
      </c>
      <c r="AG4" s="842"/>
      <c r="AH4" s="155"/>
      <c r="AI4" s="1"/>
      <c r="AJ4" s="1"/>
      <c r="AK4" s="1"/>
      <c r="AL4" s="150"/>
      <c r="AM4" s="151"/>
      <c r="AN4" s="151"/>
      <c r="AO4" s="424"/>
      <c r="AP4" s="424"/>
      <c r="AQ4" s="424"/>
      <c r="AR4" s="424"/>
      <c r="AS4" s="424"/>
      <c r="AT4" s="151"/>
      <c r="AU4" s="424"/>
      <c r="AV4" s="425"/>
      <c r="AW4" s="1"/>
      <c r="AX4" s="11" t="s">
        <v>156</v>
      </c>
      <c r="AY4" s="70">
        <f ca="1">(C5*D5+C6*D6+C14*D14+C7*D7+C8*D8+C9*D9+C10*D10+C11*D11+C12*D12+C13*D13)/Input!D19</f>
        <v>5.8</v>
      </c>
      <c r="AZ4" s="71">
        <f ca="1">AY4*Input!D11</f>
        <v>139.19999999999999</v>
      </c>
      <c r="BA4" s="1"/>
      <c r="BB4" s="1"/>
      <c r="BC4" s="1"/>
      <c r="BD4" s="54"/>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row>
    <row r="5" spans="1:101" ht="15.75" thickBot="1">
      <c r="A5" s="1"/>
      <c r="B5" s="388" t="s">
        <v>160</v>
      </c>
      <c r="C5" s="389">
        <f>'Scheduled Maintenance'!C38</f>
        <v>1</v>
      </c>
      <c r="D5" s="71">
        <f ca="1">'Scheduled Maintenance'!F38</f>
        <v>10</v>
      </c>
      <c r="E5" s="328">
        <f ca="1">'Scheduled Maintenance'!H38</f>
        <v>60</v>
      </c>
      <c r="F5" s="330">
        <f>VLOOKUP(Input!D13,Tabelle10[#All],3,FALSE)</f>
        <v>1</v>
      </c>
      <c r="G5" s="1"/>
      <c r="H5" s="48" t="s">
        <v>157</v>
      </c>
      <c r="I5" s="80">
        <f>VLOOKUP(Input!D13,'Unscheduled Maintenance'!B3:G101,4,FALSE)*C76+VLOOKUP(Input!D13,'Unscheduled Maintenance'!B3:G101,4,FALSE)</f>
        <v>1</v>
      </c>
      <c r="J5" s="847">
        <f>I5</f>
        <v>1</v>
      </c>
      <c r="K5" s="847"/>
      <c r="L5" s="333">
        <f>VLOOKUP(Input!D13,'Unscheduled Maintenance'!B3:G78,6)</f>
        <v>1</v>
      </c>
      <c r="M5" s="1"/>
      <c r="N5" s="86" t="s">
        <v>178</v>
      </c>
      <c r="O5" s="87" t="s">
        <v>179</v>
      </c>
      <c r="P5" s="87" t="s">
        <v>183</v>
      </c>
      <c r="Q5" s="87" t="s">
        <v>449</v>
      </c>
      <c r="R5" s="87" t="s">
        <v>184</v>
      </c>
      <c r="S5" s="88" t="s">
        <v>185</v>
      </c>
      <c r="T5" s="89" t="s">
        <v>186</v>
      </c>
      <c r="U5" s="68"/>
      <c r="V5" s="114"/>
      <c r="W5" s="89" t="s">
        <v>184</v>
      </c>
      <c r="X5" s="1"/>
      <c r="Y5" s="1"/>
      <c r="Z5" s="1"/>
      <c r="AA5" s="1"/>
      <c r="AB5" s="1"/>
      <c r="AC5" s="1"/>
      <c r="AD5" s="1"/>
      <c r="AE5" s="48" t="s">
        <v>552</v>
      </c>
      <c r="AF5" s="80" t="e">
        <f>IF(C73&lt;=5,VLOOKUP(Vertragsart,'Insurance '!R6:T9,2,FALSE),0)</f>
        <v>#N/A</v>
      </c>
      <c r="AG5" s="153">
        <f>IF(C73&gt;5,VLOOKUP(Vertragsart,Tabelle7[#All],3,FALSE),0)</f>
        <v>0</v>
      </c>
      <c r="AH5" s="156"/>
      <c r="AI5" s="1"/>
      <c r="AJ5" s="1"/>
      <c r="AK5" s="1"/>
      <c r="AL5" s="152" t="s">
        <v>180</v>
      </c>
      <c r="AM5" s="424">
        <f>IF(AO5="No",VLOOKUP(Input!$D$13,Tabelle17[],3,FALSE),VLOOKUP(Input!$D$13,Tabelle17[],9,FALSE))</f>
        <v>1</v>
      </c>
      <c r="AN5" s="424">
        <f>Input!$G$9</f>
        <v>60</v>
      </c>
      <c r="AO5" s="424">
        <f>VLOOKUP(Input!$D$13,Tabelle172223[],3,FALSE)</f>
        <v>0</v>
      </c>
      <c r="AP5" s="424">
        <f>VLOOKUP(Input!$D$13,Tabelle1722[],3,FALSE)</f>
        <v>1</v>
      </c>
      <c r="AQ5" s="244">
        <f t="shared" ref="AQ5:AQ10" si="0">IF(AM5&lt;=Masse1,Masse1,IF(AND(AM5&gt;Masse1,AM5&lt;=Masse2),Masse2,IF(AND(AM5&gt;Masse2,AM5&lt;=Masse3),Masse3,IF(AND(AM5&gt;Masse3,AM5&lt;=Masse4),Masse4,IF(AND(AM5&gt;Masse4,AM5&lt;=Masse5),Masse5,IF(AM5&gt;Masse5,Masse6))))))</f>
        <v>5</v>
      </c>
      <c r="AR5" s="244">
        <f t="shared" ref="AR5:AR10" si="1">IF(AN5&lt;=Höhe1,Höhe1,IF(AND(AN5&gt;Höhe1,AN5&lt;=Höhe2),Höhe2,IF(AND(AN5&gt;Höhe2,AN5&lt;=Höhe3),Höhe3,IF(AND(AN5&gt;Höhe3,AN5&lt;=Höhe4),Höhe4,IF(AND(AN5&gt;Höhe4,AN5&lt;=Höhe5),Höhe5,IF(AN5&gt;Höhe5,Höhe6))))))</f>
        <v>65</v>
      </c>
      <c r="AS5" s="424" t="str">
        <f>IF(AP5=0,0,INDEX('Main Component'!$BM$5:$BU$11,MATCH(AQ5,'Main Component'!$BM$6:$BM$11,0),MATCH(AR5,'Main Component'!$BN$5:$BU$5,0)))</f>
        <v xml:space="preserve"> Höhe [m]/Masse [t]</v>
      </c>
      <c r="AT5" s="424">
        <f>IF(AO5="Yes",'Main Component'!$BO$40+'Main Component'!$BO$41,0)</f>
        <v>0</v>
      </c>
      <c r="AU5" s="424">
        <f>AP5*INDEX('Main Component'!$BM$18:$BU$24,MATCH('Cost Calculation'!AQ5,'Main Component'!$BM$6:$BM$11,0),MATCH(AR5,'Main Component'!$BN$5:$BU$5,0))</f>
        <v>5</v>
      </c>
      <c r="AV5" s="425">
        <f t="shared" ref="AV5:AV10" si="2">SUM(AS5:AU5)</f>
        <v>5</v>
      </c>
      <c r="AW5" s="1"/>
      <c r="AX5" s="11" t="s">
        <v>175</v>
      </c>
      <c r="AY5" s="70">
        <f>I6</f>
        <v>1</v>
      </c>
      <c r="AZ5" s="71">
        <f>AY5*Input!D11</f>
        <v>24</v>
      </c>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row>
    <row r="6" spans="1:101" ht="15.75" thickBot="1">
      <c r="A6" s="1"/>
      <c r="B6" s="388" t="s">
        <v>687</v>
      </c>
      <c r="C6" s="389">
        <f>'Scheduled Maintenance'!C39</f>
        <v>1</v>
      </c>
      <c r="D6" s="71">
        <f>'Scheduled Maintenance'!F39</f>
        <v>5</v>
      </c>
      <c r="E6" s="328">
        <f>'Scheduled Maintenance'!H39</f>
        <v>30</v>
      </c>
      <c r="F6" s="330">
        <f>VLOOKUP(Input!D13,Tabelle10[#All],4,FALSE)</f>
        <v>1</v>
      </c>
      <c r="G6" s="1"/>
      <c r="H6" s="14" t="s">
        <v>176</v>
      </c>
      <c r="I6" s="77">
        <f>VLOOKUP(Input!D13,Tabelle1014[],3,FALSE)</f>
        <v>1</v>
      </c>
      <c r="J6" s="836">
        <f>I6*C67</f>
        <v>30</v>
      </c>
      <c r="K6" s="836"/>
      <c r="L6" s="334">
        <f>VLOOKUP(Input!D13,'Unscheduled Maintenance'!B3:G78,6)</f>
        <v>1</v>
      </c>
      <c r="M6" s="1"/>
      <c r="N6" s="240"/>
      <c r="O6" s="66"/>
      <c r="P6" s="27"/>
      <c r="Q6" s="27"/>
      <c r="R6" s="27"/>
      <c r="S6" s="28"/>
      <c r="T6" s="29"/>
      <c r="U6" s="111"/>
      <c r="V6" s="22"/>
      <c r="W6" s="29"/>
      <c r="X6" s="1"/>
      <c r="Y6" s="1"/>
      <c r="Z6" s="1"/>
      <c r="AA6" s="1"/>
      <c r="AB6" s="1"/>
      <c r="AC6" s="1"/>
      <c r="AD6" s="1"/>
      <c r="AE6" s="14" t="s">
        <v>553</v>
      </c>
      <c r="AF6" s="77" t="e">
        <f>IF(C73&lt;=5,VLOOKUP(Vertragsart,'Insurance '!R6:T9,2,FALSE),0)*Input!G10</f>
        <v>#N/A</v>
      </c>
      <c r="AG6" s="154">
        <f>IF(C73&gt;5,VLOOKUP(Vertragsart,Tabelle7[#All],3,FALSE),0)*Input!G10</f>
        <v>0</v>
      </c>
      <c r="AH6" s="157"/>
      <c r="AI6" s="1"/>
      <c r="AJ6" s="1"/>
      <c r="AK6" s="1"/>
      <c r="AL6" s="152" t="s">
        <v>181</v>
      </c>
      <c r="AM6" s="424">
        <f>IF(AO6="No",VLOOKUP(Input!$D$13,Tabelle17[],4,FALSE),VLOOKUP(Input!$D$13,Tabelle17[],9,FALSE))</f>
        <v>1</v>
      </c>
      <c r="AN6" s="424">
        <f>Input!$G$9</f>
        <v>60</v>
      </c>
      <c r="AO6" s="424">
        <f>VLOOKUP(Input!$D$13,Tabelle172223[],4,FALSE)</f>
        <v>0</v>
      </c>
      <c r="AP6" s="424">
        <f>VLOOKUP(Input!$D$13,Tabelle1722[],4,FALSE)</f>
        <v>1</v>
      </c>
      <c r="AQ6" s="244">
        <f t="shared" si="0"/>
        <v>5</v>
      </c>
      <c r="AR6" s="244">
        <f t="shared" si="1"/>
        <v>65</v>
      </c>
      <c r="AS6" s="424" t="str">
        <f>IF(AP6=0,0,INDEX('Main Component'!$BM$5:$BU$11,MATCH(AQ6,'Main Component'!$BM$6:$BM$11,0),MATCH(AR6,'Main Component'!$BN$5:$BU$5,0)))</f>
        <v xml:space="preserve"> Höhe [m]/Masse [t]</v>
      </c>
      <c r="AT6" s="424">
        <f>IF(AO6="Yes",'Main Component'!$BO$40+'Main Component'!$BO$41,0)</f>
        <v>0</v>
      </c>
      <c r="AU6" s="424">
        <f>AP6*INDEX('Main Component'!$BM$18:$BU$24,MATCH('Cost Calculation'!AQ6,'Main Component'!$BM$6:$BM$11,0),MATCH(AR6,'Main Component'!$BN$5:$BU$5,0))</f>
        <v>5</v>
      </c>
      <c r="AV6" s="425">
        <f t="shared" si="2"/>
        <v>5</v>
      </c>
      <c r="AW6" s="1"/>
      <c r="AX6" s="14" t="s">
        <v>575</v>
      </c>
      <c r="AY6" s="44">
        <f ca="1">SUM(AY4:AY5)</f>
        <v>6.8</v>
      </c>
      <c r="AZ6" s="72">
        <f ca="1">SUM(AZ4:AZ5)</f>
        <v>163.19999999999999</v>
      </c>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row>
    <row r="7" spans="1:101" ht="15.75" thickBot="1">
      <c r="A7" s="1"/>
      <c r="B7" s="388" t="s">
        <v>688</v>
      </c>
      <c r="C7" s="389">
        <f>'Scheduled Maintenance'!C40</f>
        <v>1</v>
      </c>
      <c r="D7" s="71">
        <f>'Scheduled Maintenance'!F40</f>
        <v>5</v>
      </c>
      <c r="E7" s="328">
        <f>'Scheduled Maintenance'!H40</f>
        <v>30</v>
      </c>
      <c r="F7" s="330">
        <f>VLOOKUP(Input!D13,Tabelle10[#All],5,FALSE)</f>
        <v>1</v>
      </c>
      <c r="G7" s="1"/>
      <c r="H7" s="57" t="s">
        <v>163</v>
      </c>
      <c r="I7" s="848">
        <f>IF(Input!D17="Basic +",J6,SUM(J5:J6))</f>
        <v>31</v>
      </c>
      <c r="J7" s="849"/>
      <c r="K7" s="850"/>
      <c r="L7" s="1"/>
      <c r="M7" s="1"/>
      <c r="N7" s="241">
        <f>'Output decentralized'!E11</f>
        <v>0</v>
      </c>
      <c r="O7" s="45" t="s">
        <v>180</v>
      </c>
      <c r="P7" s="91">
        <f>VLOOKUP(Input!D13,Tabelle15[],3,FALSE)</f>
        <v>98200</v>
      </c>
      <c r="Q7" s="92">
        <f ca="1">SUM(INDIRECT("'Main Component'!BE"&amp;ROW(INDIRECT("'Main Component'!BE"&amp;6+C73))):INDIRECT("'Main Component'!BE"&amp;ROW(INDIRECT("'Main Component'!BE"&amp;5+C73+C75))))</f>
        <v>0.19</v>
      </c>
      <c r="R7" s="92">
        <f ca="1">SUM(INDIRECT("'Main Component'!BD"&amp;ROW(INDIRECT("'Main Component'!BD"&amp;6+C73))):INDIRECT("'Main Component'!BD"&amp;ROW(INDIRECT("'Main Component'!BD"&amp;5+C73+C75))))</f>
        <v>0.12</v>
      </c>
      <c r="S7" s="93">
        <f t="shared" ref="S7:S12" si="3">AV5</f>
        <v>5</v>
      </c>
      <c r="T7" s="94">
        <f>VLOOKUP(Input!D13,Tabelle1517[],3,FALSE)*C67</f>
        <v>30</v>
      </c>
      <c r="U7" s="112"/>
      <c r="V7" s="81" t="s">
        <v>180</v>
      </c>
      <c r="W7" s="115">
        <f>'Output decentralized'!E10</f>
        <v>0</v>
      </c>
      <c r="X7" s="1"/>
      <c r="Y7" s="1"/>
      <c r="Z7" s="1"/>
      <c r="AA7" s="1"/>
      <c r="AB7" s="1"/>
      <c r="AC7" s="1"/>
      <c r="AD7" s="1"/>
      <c r="AE7" s="57"/>
      <c r="AF7" s="159"/>
      <c r="AG7" s="160" t="e">
        <f>SUM(AF6:AH6)</f>
        <v>#N/A</v>
      </c>
      <c r="AH7" s="158"/>
      <c r="AI7" s="1"/>
      <c r="AJ7" s="1"/>
      <c r="AK7" s="1"/>
      <c r="AL7" s="152" t="s">
        <v>182</v>
      </c>
      <c r="AM7" s="424">
        <f>IF(AO7="No",VLOOKUP(Input!$D$13,Tabelle17[],5,FALSE),VLOOKUP(Input!$D$13,Tabelle17[],9,FALSE))</f>
        <v>1</v>
      </c>
      <c r="AN7" s="424">
        <f>Input!$G$9</f>
        <v>60</v>
      </c>
      <c r="AO7" s="424">
        <f>VLOOKUP(Input!$D$13,Tabelle172223[],5,FALSE)</f>
        <v>0</v>
      </c>
      <c r="AP7" s="424">
        <f>VLOOKUP(Input!$D$13,Tabelle1722[],5,FALSE)</f>
        <v>1</v>
      </c>
      <c r="AQ7" s="244">
        <f t="shared" si="0"/>
        <v>5</v>
      </c>
      <c r="AR7" s="244">
        <f t="shared" si="1"/>
        <v>65</v>
      </c>
      <c r="AS7" s="424" t="str">
        <f>IF(AP7=0,0,INDEX('Main Component'!$BM$5:$BU$11,MATCH(AQ7,'Main Component'!$BM$6:$BM$11,0),MATCH(AR7,'Main Component'!$BN$5:$BU$5,0)))</f>
        <v xml:space="preserve"> Höhe [m]/Masse [t]</v>
      </c>
      <c r="AT7" s="424">
        <f>IF(AO7="Yes",'Main Component'!$BO$40+'Main Component'!$BO$41,0)</f>
        <v>0</v>
      </c>
      <c r="AU7" s="424">
        <f>AP7*INDEX('Main Component'!$BM$18:$BU$24,MATCH('Cost Calculation'!AQ7,'Main Component'!$BM$6:$BM$11,0),MATCH(AR7,'Main Component'!$BN$5:$BU$5,0))</f>
        <v>5</v>
      </c>
      <c r="AV7" s="425">
        <f t="shared" si="2"/>
        <v>5</v>
      </c>
      <c r="AW7" s="1"/>
      <c r="AX7" s="261"/>
      <c r="AY7" s="207"/>
      <c r="AZ7" s="208"/>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row>
    <row r="8" spans="1:101" ht="15.75" thickBot="1">
      <c r="A8" s="1"/>
      <c r="B8" s="388" t="s">
        <v>689</v>
      </c>
      <c r="C8" s="389">
        <f>'Scheduled Maintenance'!C41</f>
        <v>1</v>
      </c>
      <c r="D8" s="71">
        <f ca="1">'Scheduled Maintenance'!F41</f>
        <v>1</v>
      </c>
      <c r="E8" s="328">
        <f ca="1">'Scheduled Maintenance'!H41</f>
        <v>6</v>
      </c>
      <c r="F8" s="330">
        <f>VLOOKUP(Input!D13,Tabelle10[#All],6,FALSE)</f>
        <v>1</v>
      </c>
      <c r="G8" s="1"/>
      <c r="H8" s="1"/>
      <c r="I8" s="1"/>
      <c r="J8" s="1"/>
      <c r="K8" s="1"/>
      <c r="L8" s="1"/>
      <c r="M8" s="1"/>
      <c r="N8" s="241">
        <f>'Output decentralized'!F11</f>
        <v>0</v>
      </c>
      <c r="O8" s="45" t="s">
        <v>181</v>
      </c>
      <c r="P8" s="95">
        <f>VLOOKUP(Input!D13,Tabelle15[],4,FALSE)</f>
        <v>119200</v>
      </c>
      <c r="Q8" s="95">
        <f ca="1">SUM(INDIRECT("'Main Component'!BG"&amp;ROW(INDIRECT("'Main Component'!BG"&amp;6+C73))):INDIRECT("'Main Component'!BG"&amp;ROW(INDIRECT("'Main Component'!BG"&amp;5+C73+C75))))</f>
        <v>0.05</v>
      </c>
      <c r="R8" s="92">
        <f ca="1">SUM(INDIRECT("'Main Component'!BF"&amp;ROW(INDIRECT("'Main Component'!BF"&amp;6+C73))):INDIRECT("'Main Component'!BF"&amp;ROW(INDIRECT("'Main Component'!BF"&amp;5+C73+C75))))</f>
        <v>0.04</v>
      </c>
      <c r="S8" s="93">
        <f t="shared" si="3"/>
        <v>5</v>
      </c>
      <c r="T8" s="96">
        <f>VLOOKUP(Input!D13,Tabelle1517[],4,FALSE)*C67</f>
        <v>30</v>
      </c>
      <c r="U8" s="112"/>
      <c r="V8" s="81" t="s">
        <v>181</v>
      </c>
      <c r="W8" s="96">
        <f>'Output decentralized'!F10</f>
        <v>0</v>
      </c>
      <c r="X8" s="1"/>
      <c r="Y8" s="1"/>
      <c r="Z8" s="1"/>
      <c r="AA8" s="1"/>
      <c r="AB8" s="1"/>
      <c r="AC8" s="1"/>
      <c r="AD8" s="1"/>
      <c r="AE8" s="1"/>
      <c r="AF8" s="1"/>
      <c r="AG8" s="1"/>
      <c r="AH8" s="1"/>
      <c r="AI8" s="1"/>
      <c r="AJ8" s="1"/>
      <c r="AK8" s="1"/>
      <c r="AL8" s="152" t="s">
        <v>192</v>
      </c>
      <c r="AM8" s="424">
        <f>IF(AO8="No",VLOOKUP(Input!$D$13,Tabelle17[],6,FALSE),VLOOKUP(Input!$D$13,Tabelle17[],9,FALSE))</f>
        <v>1</v>
      </c>
      <c r="AN8" s="424">
        <f>Input!$G$9</f>
        <v>60</v>
      </c>
      <c r="AO8" s="424">
        <f>VLOOKUP(Input!$D$13,Tabelle172223[],6,FALSE)</f>
        <v>0</v>
      </c>
      <c r="AP8" s="424">
        <f>VLOOKUP(Input!$D$13,Tabelle1722[],6,FALSE)</f>
        <v>1</v>
      </c>
      <c r="AQ8" s="244">
        <f t="shared" si="0"/>
        <v>5</v>
      </c>
      <c r="AR8" s="244">
        <f t="shared" si="1"/>
        <v>65</v>
      </c>
      <c r="AS8" s="424" t="str">
        <f>IF(AP8=0,0,INDEX('Main Component'!$BM$5:$BU$11,MATCH(AQ8,'Main Component'!$BM$6:$BM$11,0),MATCH(AR8,'Main Component'!$BN$5:$BU$5,0)))</f>
        <v xml:space="preserve"> Höhe [m]/Masse [t]</v>
      </c>
      <c r="AT8" s="424">
        <f>IF(AO8="Yes",'Main Component'!$BO$40+'Main Component'!$BO$41,0)</f>
        <v>0</v>
      </c>
      <c r="AU8" s="424">
        <f>AP8*INDEX('Main Component'!$BM$18:$BU$24,MATCH('Cost Calculation'!AQ8,'Main Component'!$BM$6:$BM$11,0),MATCH(AR8,'Main Component'!$BN$5:$BU$5,0))</f>
        <v>5</v>
      </c>
      <c r="AV8" s="425">
        <f t="shared" si="2"/>
        <v>5</v>
      </c>
      <c r="AW8" s="1"/>
      <c r="AX8" s="853"/>
      <c r="AY8" s="854"/>
      <c r="AZ8" s="854"/>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row>
    <row r="9" spans="1:101" ht="15.75" thickBot="1">
      <c r="A9" s="1"/>
      <c r="B9" s="388" t="s">
        <v>690</v>
      </c>
      <c r="C9" s="389">
        <f>'Scheduled Maintenance'!C42</f>
        <v>1</v>
      </c>
      <c r="D9" s="71">
        <f ca="1">'Scheduled Maintenance'!F42</f>
        <v>3</v>
      </c>
      <c r="E9" s="328">
        <f ca="1">'Scheduled Maintenance'!H42</f>
        <v>18</v>
      </c>
      <c r="F9" s="330">
        <f>VLOOKUP(Input!D13,Tabelle10[#All],7,FALSE)</f>
        <v>1</v>
      </c>
      <c r="G9" s="1"/>
      <c r="H9" s="1"/>
      <c r="I9" s="1"/>
      <c r="J9" s="1"/>
      <c r="K9" s="1"/>
      <c r="L9" s="1"/>
      <c r="M9" s="1"/>
      <c r="N9" s="241">
        <f>'Output decentralized'!H11</f>
        <v>0</v>
      </c>
      <c r="O9" s="45" t="s">
        <v>182</v>
      </c>
      <c r="P9" s="95">
        <f>VLOOKUP(Input!D13,Tabelle15[],5,FALSE)</f>
        <v>1</v>
      </c>
      <c r="Q9" s="95">
        <f ca="1">SUM(INDIRECT("'Main Component'!BI"&amp;ROW(INDIRECT("'Main Component'!BI"&amp;6+C73))):INDIRECT("'Main Component'!BI"&amp;ROW(INDIRECT("'Main Component'!BI"&amp;5+C73+C75))))</f>
        <v>0.05</v>
      </c>
      <c r="R9" s="92">
        <f ca="1">SUM(INDIRECT("'Main Component'!BH"&amp;ROW(INDIRECT("'Main Component'!BH"&amp;6+C73))):INDIRECT("'Main Component'!BH"&amp;ROW(INDIRECT("'Main Component'!BH"&amp;5+C73+C75))))</f>
        <v>0.04</v>
      </c>
      <c r="S9" s="93">
        <f t="shared" si="3"/>
        <v>5</v>
      </c>
      <c r="T9" s="96">
        <f>VLOOKUP(Input!D13,Tabelle1517[],5,FALSE)*C67</f>
        <v>30</v>
      </c>
      <c r="U9" s="112"/>
      <c r="V9" s="81" t="s">
        <v>182</v>
      </c>
      <c r="W9" s="96">
        <f>'Output decentralized'!H10</f>
        <v>0</v>
      </c>
      <c r="X9" s="1"/>
      <c r="Y9" s="1"/>
      <c r="Z9" s="1"/>
      <c r="AA9" s="1"/>
      <c r="AB9" s="1"/>
      <c r="AC9" s="1"/>
      <c r="AD9" s="1"/>
      <c r="AE9" s="840" t="s">
        <v>717</v>
      </c>
      <c r="AF9" s="840"/>
      <c r="AG9" s="840"/>
      <c r="AH9" s="840"/>
      <c r="AI9" s="1"/>
      <c r="AJ9" s="1"/>
      <c r="AK9" s="1"/>
      <c r="AL9" s="152" t="s">
        <v>193</v>
      </c>
      <c r="AM9" s="424">
        <f>IF(AO9="No",VLOOKUP(Input!$D$13,Tabelle17[],7,FALSE),VLOOKUP(Input!$D$13,Tabelle17[],9,FALSE))</f>
        <v>1</v>
      </c>
      <c r="AN9" s="424">
        <f>Input!$G$9</f>
        <v>60</v>
      </c>
      <c r="AO9" s="424">
        <f>VLOOKUP(Input!$D$13,Tabelle172223[],7,FALSE)</f>
        <v>0</v>
      </c>
      <c r="AP9" s="424">
        <f>VLOOKUP(Input!$D$13,Tabelle1722[],7,FALSE)</f>
        <v>1</v>
      </c>
      <c r="AQ9" s="244">
        <f t="shared" si="0"/>
        <v>5</v>
      </c>
      <c r="AR9" s="244">
        <f t="shared" si="1"/>
        <v>65</v>
      </c>
      <c r="AS9" s="424" t="str">
        <f>IF(AP9=0,0,INDEX('Main Component'!$BM$5:$BU$11,MATCH(AQ9,'Main Component'!$BM$6:$BM$11,0),MATCH(AR9,'Main Component'!$BN$5:$BU$5,0)))</f>
        <v xml:space="preserve"> Höhe [m]/Masse [t]</v>
      </c>
      <c r="AT9" s="424">
        <f>IF(AO9="Yes",'Main Component'!$BO$40+'Main Component'!$BO$41,0)</f>
        <v>0</v>
      </c>
      <c r="AU9" s="424">
        <f>AP9*INDEX('Main Component'!$BM$18:$BU$24,MATCH('Cost Calculation'!AQ9,'Main Component'!$BM$6:$BM$11,0),MATCH(AR9,'Main Component'!$BN$5:$BU$5,0))</f>
        <v>5</v>
      </c>
      <c r="AV9" s="425">
        <f t="shared" si="2"/>
        <v>5</v>
      </c>
      <c r="AW9" s="1"/>
      <c r="AX9" s="830" t="s">
        <v>167</v>
      </c>
      <c r="AY9" s="793"/>
      <c r="AZ9" s="793"/>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row>
    <row r="10" spans="1:101" ht="15.75" customHeight="1" thickBot="1">
      <c r="A10" s="1"/>
      <c r="B10" s="388" t="s">
        <v>691</v>
      </c>
      <c r="C10" s="389">
        <f>'Scheduled Maintenance'!C43</f>
        <v>1</v>
      </c>
      <c r="D10" s="71">
        <f ca="1">'Scheduled Maintenance'!F43</f>
        <v>2</v>
      </c>
      <c r="E10" s="328">
        <f ca="1">'Scheduled Maintenance'!H43</f>
        <v>12</v>
      </c>
      <c r="F10" s="330">
        <f>VLOOKUP(Input!D13,Tabelle10[#All],8,FALSE)</f>
        <v>1</v>
      </c>
      <c r="G10" s="142"/>
      <c r="H10" s="143"/>
      <c r="I10" s="1"/>
      <c r="J10" s="1"/>
      <c r="K10" s="1"/>
      <c r="L10" s="1"/>
      <c r="M10" s="1"/>
      <c r="N10" s="242">
        <v>0</v>
      </c>
      <c r="O10" s="45" t="s">
        <v>192</v>
      </c>
      <c r="P10" s="95">
        <f>VLOOKUP(Input!D13,Tabelle15[],6,FALSE)</f>
        <v>1</v>
      </c>
      <c r="Q10" s="95">
        <v>0</v>
      </c>
      <c r="R10" s="97">
        <v>0</v>
      </c>
      <c r="S10" s="93">
        <f t="shared" si="3"/>
        <v>5</v>
      </c>
      <c r="T10" s="96">
        <f>VLOOKUP(Input!D13,Tabelle1517[],6,FALSE)*C67</f>
        <v>30</v>
      </c>
      <c r="U10" s="112"/>
      <c r="V10" s="81" t="s">
        <v>192</v>
      </c>
      <c r="W10" s="96">
        <f>'Output decentralized'!$I$10</f>
        <v>0</v>
      </c>
      <c r="X10" s="1"/>
      <c r="Y10" s="1"/>
      <c r="Z10" s="1"/>
      <c r="AA10" s="1"/>
      <c r="AB10" s="1"/>
      <c r="AC10" s="1"/>
      <c r="AD10" s="1"/>
      <c r="AE10" s="840"/>
      <c r="AF10" s="840"/>
      <c r="AG10" s="840"/>
      <c r="AH10" s="840"/>
      <c r="AI10" s="1"/>
      <c r="AJ10" s="1"/>
      <c r="AK10" s="1"/>
      <c r="AL10" s="426" t="s">
        <v>194</v>
      </c>
      <c r="AM10" s="427">
        <f>IF(AO10="No",VLOOKUP(Input!$D$13,Tabelle17[],8,FALSE),VLOOKUP(Input!$D$13,Tabelle17[],9,FALSE))</f>
        <v>1</v>
      </c>
      <c r="AN10" s="427">
        <f>Input!$G$9</f>
        <v>60</v>
      </c>
      <c r="AO10" s="427">
        <f>VLOOKUP(Input!$D$13,Tabelle172223[],8,FALSE)</f>
        <v>0</v>
      </c>
      <c r="AP10" s="427">
        <f>VLOOKUP(Input!$D$13,Tabelle1722[],8,FALSE)</f>
        <v>1</v>
      </c>
      <c r="AQ10" s="590">
        <f t="shared" si="0"/>
        <v>5</v>
      </c>
      <c r="AR10" s="590">
        <f t="shared" si="1"/>
        <v>65</v>
      </c>
      <c r="AS10" s="427" t="str">
        <f>IF(AP10=0,0,INDEX('Main Component'!$BM$5:$BU$11,MATCH(AQ10,'Main Component'!$BM$6:$BM$11,0),MATCH(AR10,'Main Component'!$BN$5:$BU$5,0)))</f>
        <v xml:space="preserve"> Höhe [m]/Masse [t]</v>
      </c>
      <c r="AT10" s="427">
        <f>IF(AO10="Yes",'Main Component'!$BO$40+'Main Component'!$BO$41,0)</f>
        <v>0</v>
      </c>
      <c r="AU10" s="427">
        <f>AP10*INDEX('Main Component'!$BM$18:$BU$24,MATCH('Cost Calculation'!AQ10,'Main Component'!$BM$6:$BM$11,0),MATCH(AR10,'Main Component'!$BN$5:$BU$5,0))</f>
        <v>5</v>
      </c>
      <c r="AV10" s="428">
        <f t="shared" si="2"/>
        <v>5</v>
      </c>
      <c r="AW10" s="1"/>
      <c r="AX10" s="263" t="s">
        <v>156</v>
      </c>
      <c r="AY10" s="264">
        <f ca="1">E30</f>
        <v>5.8000000000000007</v>
      </c>
      <c r="AZ10" s="265">
        <f ca="1">AY10*Input!D11</f>
        <v>139.20000000000002</v>
      </c>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row>
    <row r="11" spans="1:101" ht="15.75" customHeight="1" thickBot="1">
      <c r="A11" s="1"/>
      <c r="B11" s="388" t="s">
        <v>692</v>
      </c>
      <c r="C11" s="389">
        <f>'Scheduled Maintenance'!C44</f>
        <v>1</v>
      </c>
      <c r="D11" s="71">
        <f ca="1">'Scheduled Maintenance'!F44</f>
        <v>1</v>
      </c>
      <c r="E11" s="328">
        <f ca="1">'Scheduled Maintenance'!H44</f>
        <v>6</v>
      </c>
      <c r="F11" s="330">
        <f>VLOOKUP(Input!D13,Tabelle10[#All],9,FALSE)</f>
        <v>1</v>
      </c>
      <c r="G11" s="143"/>
      <c r="H11" s="1"/>
      <c r="I11" s="1"/>
      <c r="J11" s="1"/>
      <c r="K11" s="1"/>
      <c r="L11" s="1"/>
      <c r="M11" s="1"/>
      <c r="N11" s="242">
        <v>0</v>
      </c>
      <c r="O11" s="45" t="s">
        <v>193</v>
      </c>
      <c r="P11" s="95">
        <f>VLOOKUP(Input!D13,Tabelle15[],7,FALSE)</f>
        <v>1</v>
      </c>
      <c r="Q11" s="95">
        <v>0</v>
      </c>
      <c r="R11" s="97">
        <v>0</v>
      </c>
      <c r="S11" s="93">
        <f t="shared" si="3"/>
        <v>5</v>
      </c>
      <c r="T11" s="96">
        <f>VLOOKUP(Input!D13,Tabelle1517[],7,FALSE)*C67</f>
        <v>30</v>
      </c>
      <c r="U11" s="112"/>
      <c r="V11" s="81" t="s">
        <v>193</v>
      </c>
      <c r="W11" s="96">
        <f>'Output decentralized'!J10</f>
        <v>0</v>
      </c>
      <c r="X11" s="1"/>
      <c r="Y11" s="1"/>
      <c r="Z11" s="1"/>
      <c r="AA11" s="1"/>
      <c r="AB11" s="1"/>
      <c r="AC11" s="1"/>
      <c r="AD11" s="1"/>
      <c r="AE11" s="354"/>
      <c r="AF11" s="26" t="s">
        <v>719</v>
      </c>
      <c r="AG11" s="830" t="s">
        <v>720</v>
      </c>
      <c r="AH11" s="830"/>
      <c r="AI11" s="1"/>
      <c r="AJ11" s="1"/>
      <c r="AK11" s="1"/>
      <c r="AL11" s="1"/>
      <c r="AM11" s="1" t="s">
        <v>537</v>
      </c>
      <c r="AN11" s="1"/>
      <c r="AO11" s="1"/>
      <c r="AP11" s="1"/>
      <c r="AQ11" s="1"/>
      <c r="AR11" s="1"/>
      <c r="AS11" s="1"/>
      <c r="AT11" s="1"/>
      <c r="AU11" s="1"/>
      <c r="AV11" s="1"/>
      <c r="AW11" s="1"/>
      <c r="AX11" s="263" t="s">
        <v>175</v>
      </c>
      <c r="AY11" s="266">
        <f>I5</f>
        <v>1</v>
      </c>
      <c r="AZ11" s="267">
        <f>AY11*Input!D11</f>
        <v>24</v>
      </c>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row>
    <row r="12" spans="1:101" ht="27" thickBot="1">
      <c r="A12" s="1"/>
      <c r="B12" s="388" t="s">
        <v>693</v>
      </c>
      <c r="C12" s="389">
        <f>'Scheduled Maintenance'!C45</f>
        <v>1</v>
      </c>
      <c r="D12" s="71">
        <f ca="1">'Scheduled Maintenance'!F45</f>
        <v>1</v>
      </c>
      <c r="E12" s="328">
        <f ca="1">'Scheduled Maintenance'!H45</f>
        <v>6</v>
      </c>
      <c r="F12" s="330">
        <f>VLOOKUP(Input!D13,Tabelle10[#All],10,FALSE)</f>
        <v>1</v>
      </c>
      <c r="G12" s="1"/>
      <c r="H12" s="1"/>
      <c r="I12" s="1"/>
      <c r="J12" s="1"/>
      <c r="K12" s="1"/>
      <c r="L12" s="1"/>
      <c r="M12" s="1"/>
      <c r="N12" s="243">
        <f>'Output decentralized'!G11</f>
        <v>0</v>
      </c>
      <c r="O12" s="46" t="s">
        <v>194</v>
      </c>
      <c r="P12" s="98">
        <f>VLOOKUP(Input!D13,Tabelle15[],8,FALSE)</f>
        <v>53700</v>
      </c>
      <c r="Q12" s="98">
        <f ca="1">SUM(INDIRECT("'Main Component'!BK"&amp;ROW(INDIRECT("'Main Component'!BK"&amp;6+C73))):INDIRECT("'Main Component'!BK"&amp;ROW(INDIRECT("'Main Component'!BK"&amp;5+C73+C75))))</f>
        <v>0.05</v>
      </c>
      <c r="R12" s="99">
        <f ca="1">SUM(INDIRECT("'Main Component'!BJ"&amp;ROW(INDIRECT("'Main Component'!BJ"&amp;6+C73))):INDIRECT("'Main Component'!BJ"&amp;ROW(INDIRECT("'Main Component'!BJ"&amp;5+C73+C75))))</f>
        <v>0.04</v>
      </c>
      <c r="S12" s="175">
        <f t="shared" si="3"/>
        <v>5</v>
      </c>
      <c r="T12" s="100">
        <f>VLOOKUP(Input!D13,Tabelle1517[],8,FALSE)*C67</f>
        <v>30</v>
      </c>
      <c r="U12" s="113"/>
      <c r="V12" s="82" t="s">
        <v>194</v>
      </c>
      <c r="W12" s="100">
        <f>'Output decentralized'!G10</f>
        <v>0</v>
      </c>
      <c r="X12" s="1"/>
      <c r="Y12" s="1"/>
      <c r="Z12" s="1"/>
      <c r="AA12" s="1"/>
      <c r="AB12" s="1"/>
      <c r="AC12" s="1"/>
      <c r="AD12" s="1"/>
      <c r="AE12" s="434" t="s">
        <v>721</v>
      </c>
      <c r="AF12" s="355" t="str">
        <f>Input!D20</f>
        <v>included</v>
      </c>
      <c r="AG12" s="385">
        <f>VLOOKUP(Input!$D$13,Table_options,3,FALSE)</f>
        <v>300</v>
      </c>
      <c r="AH12" s="355">
        <f>IF(AF12="included",AG12,0)</f>
        <v>300</v>
      </c>
      <c r="AI12" s="1"/>
      <c r="AJ12" s="1"/>
      <c r="AK12" s="1"/>
      <c r="AL12" s="1"/>
      <c r="AM12" s="400"/>
      <c r="AN12" s="1"/>
      <c r="AO12" s="1"/>
      <c r="AP12" s="1"/>
      <c r="AQ12" s="1"/>
      <c r="AR12" s="1"/>
      <c r="AS12" s="1"/>
      <c r="AT12" s="1"/>
      <c r="AU12" s="1"/>
      <c r="AV12" s="1"/>
      <c r="AW12" s="1"/>
      <c r="AX12" s="263" t="s">
        <v>163</v>
      </c>
      <c r="AY12" s="264">
        <f ca="1">SUM(AY10:AY11)</f>
        <v>6.8000000000000007</v>
      </c>
      <c r="AZ12" s="268">
        <f ca="1">SUM(AZ10:AZ11)</f>
        <v>163.20000000000002</v>
      </c>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row>
    <row r="13" spans="1:101" ht="15.75" thickBot="1">
      <c r="A13" s="1"/>
      <c r="B13" s="388" t="s">
        <v>694</v>
      </c>
      <c r="C13" s="389">
        <f>'Scheduled Maintenance'!C46</f>
        <v>1</v>
      </c>
      <c r="D13" s="71">
        <f ca="1">'Scheduled Maintenance'!F46</f>
        <v>1</v>
      </c>
      <c r="E13" s="328">
        <f ca="1">'Scheduled Maintenance'!H46</f>
        <v>6</v>
      </c>
      <c r="F13" s="330">
        <f>VLOOKUP(Input!D13,Tabelle10[#All],11,FALSE)</f>
        <v>1</v>
      </c>
      <c r="G13" s="1"/>
      <c r="H13" s="1"/>
      <c r="I13" s="1"/>
      <c r="J13" s="1"/>
      <c r="K13" s="1"/>
      <c r="L13" s="1"/>
      <c r="M13" s="1"/>
      <c r="N13" s="243">
        <f>'Output decentralized'!G12</f>
        <v>0</v>
      </c>
      <c r="O13" s="46" t="s">
        <v>715</v>
      </c>
      <c r="P13" s="98">
        <f>VLOOKUP(Input!D13,Tabelle1517[#All],9,FALSE)</f>
        <v>2450</v>
      </c>
      <c r="Q13" s="98">
        <v>0</v>
      </c>
      <c r="R13" s="344">
        <v>0</v>
      </c>
      <c r="S13" s="345">
        <v>0</v>
      </c>
      <c r="T13" s="100">
        <v>0</v>
      </c>
      <c r="U13" s="67"/>
      <c r="V13" s="366" t="s">
        <v>715</v>
      </c>
      <c r="W13" s="348">
        <f>'Output decentralized'!K11</f>
        <v>0</v>
      </c>
      <c r="X13" s="1"/>
      <c r="Y13" s="1"/>
      <c r="Z13" s="1"/>
      <c r="AA13" s="1"/>
      <c r="AB13" s="1"/>
      <c r="AC13" s="1"/>
      <c r="AD13" s="1"/>
      <c r="AE13" s="525" t="s">
        <v>630</v>
      </c>
      <c r="AF13" s="355" t="str">
        <f>Input!D21</f>
        <v xml:space="preserve">excluded </v>
      </c>
      <c r="AG13" s="385">
        <f>VLOOKUP(Input!$D$13,Table_options,4,FALSE)</f>
        <v>810</v>
      </c>
      <c r="AH13" s="355">
        <f>IF(AF13="included",AG13,0)</f>
        <v>0</v>
      </c>
      <c r="AI13" s="1"/>
      <c r="AJ13" s="1"/>
      <c r="AK13" s="1"/>
      <c r="AL13" s="1"/>
      <c r="AM13" s="1"/>
      <c r="AN13" s="1"/>
      <c r="AO13" s="1"/>
      <c r="AP13" s="1"/>
      <c r="AQ13" s="1"/>
      <c r="AR13" s="1"/>
      <c r="AS13" s="1"/>
      <c r="AT13" s="1"/>
      <c r="AU13" s="1"/>
      <c r="AV13" s="1"/>
      <c r="AW13" s="1"/>
      <c r="AX13" s="263" t="s">
        <v>174</v>
      </c>
      <c r="AY13" s="264"/>
      <c r="AZ13" s="268"/>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row>
    <row r="14" spans="1:101" ht="15.75" thickBot="1">
      <c r="A14" s="1"/>
      <c r="B14" s="388" t="s">
        <v>695</v>
      </c>
      <c r="C14" s="390">
        <f>'Scheduled Maintenance'!C47</f>
        <v>1</v>
      </c>
      <c r="D14" s="71">
        <f ca="1">'Scheduled Maintenance'!F47</f>
        <v>0</v>
      </c>
      <c r="E14" s="328">
        <f ca="1">'Scheduled Maintenance'!H47</f>
        <v>0</v>
      </c>
      <c r="F14" s="331">
        <f>VLOOKUP(Input!D13,Tabelle10[#All],12,FALSE)</f>
        <v>1</v>
      </c>
      <c r="G14" s="1"/>
      <c r="H14" s="1"/>
      <c r="I14" s="1"/>
      <c r="J14" s="1"/>
      <c r="K14" s="1"/>
      <c r="L14" s="1"/>
      <c r="M14" s="1"/>
      <c r="N14" s="67"/>
      <c r="O14" s="67"/>
      <c r="P14" s="67"/>
      <c r="Q14" s="67"/>
      <c r="R14" s="67"/>
      <c r="S14" s="67"/>
      <c r="T14" s="67"/>
      <c r="U14" s="67"/>
      <c r="V14" s="1"/>
      <c r="W14" s="1"/>
      <c r="X14" s="1"/>
      <c r="Y14" s="1"/>
      <c r="Z14" s="1"/>
      <c r="AA14" s="1"/>
      <c r="AB14" s="1"/>
      <c r="AC14" s="1"/>
      <c r="AD14" s="1"/>
      <c r="AE14" s="526" t="s">
        <v>744</v>
      </c>
      <c r="AF14" s="355" t="str">
        <f>Input!D22</f>
        <v xml:space="preserve">excluded </v>
      </c>
      <c r="AG14" s="385">
        <f>VLOOKUP(Input!$D$13,Table_options,5,FALSE)</f>
        <v>315</v>
      </c>
      <c r="AH14" s="355">
        <f t="shared" ref="AH14:AH24" si="4">IF(AF14="included",AG14,0)</f>
        <v>0</v>
      </c>
      <c r="AI14" s="1"/>
      <c r="AJ14" s="1"/>
      <c r="AK14" s="1"/>
      <c r="AL14" s="1"/>
      <c r="AM14" s="1"/>
      <c r="AN14" s="1"/>
      <c r="AO14" s="1"/>
      <c r="AP14" s="1"/>
      <c r="AQ14" s="1"/>
      <c r="AR14" s="1"/>
      <c r="AS14" s="1"/>
      <c r="AT14" s="1"/>
      <c r="AU14" s="1"/>
      <c r="AV14" s="1"/>
      <c r="AW14" s="1"/>
      <c r="AX14" s="68"/>
      <c r="AY14" s="259"/>
      <c r="AZ14" s="213"/>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row>
    <row r="15" spans="1:101" ht="19.5" thickBot="1">
      <c r="A15" s="1"/>
      <c r="B15" s="15"/>
      <c r="C15" s="214">
        <f ca="1">C5*D5+C6*D6+C14*D14+C7*D7+C8*D8+C9*D9+C10*D10+C11*D11+C12*D12+C13*D13</f>
        <v>29</v>
      </c>
      <c r="D15" s="56">
        <f ca="1">SUM(D5:D14)</f>
        <v>29</v>
      </c>
      <c r="E15" s="55">
        <f ca="1">SUM(E5:E14)</f>
        <v>174</v>
      </c>
      <c r="F15" s="1"/>
      <c r="G15" s="1"/>
      <c r="H15" s="1"/>
      <c r="I15" s="1"/>
      <c r="J15" s="1"/>
      <c r="K15" s="1"/>
      <c r="L15" s="1"/>
      <c r="M15" s="1"/>
      <c r="N15" s="1"/>
      <c r="O15" s="833" t="s">
        <v>472</v>
      </c>
      <c r="P15" s="834"/>
      <c r="Q15" s="834"/>
      <c r="R15" s="834"/>
      <c r="S15" s="835"/>
      <c r="T15" s="1"/>
      <c r="U15" s="1"/>
      <c r="V15" s="833" t="s">
        <v>497</v>
      </c>
      <c r="W15" s="834"/>
      <c r="X15" s="834"/>
      <c r="Y15" s="834"/>
      <c r="Z15" s="835"/>
      <c r="AA15" s="1"/>
      <c r="AB15" s="1"/>
      <c r="AC15" s="1"/>
      <c r="AD15" s="1"/>
      <c r="AE15" s="434" t="s">
        <v>767</v>
      </c>
      <c r="AF15" s="355" t="str">
        <f>Input!D23</f>
        <v xml:space="preserve">excluded </v>
      </c>
      <c r="AG15" s="385">
        <f>VLOOKUP(Input!$D$13,Table_options,6,FALSE)</f>
        <v>600</v>
      </c>
      <c r="AH15" s="355">
        <f t="shared" si="4"/>
        <v>0</v>
      </c>
      <c r="AI15" s="1"/>
      <c r="AJ15" s="1"/>
      <c r="AK15" s="1"/>
      <c r="AL15" s="1"/>
      <c r="AM15" s="1"/>
      <c r="AN15" s="1"/>
      <c r="AO15" s="1"/>
      <c r="AP15" s="1"/>
      <c r="AQ15" s="1"/>
      <c r="AR15" s="1"/>
      <c r="AS15" s="1"/>
      <c r="AT15" s="1"/>
      <c r="AU15" s="1"/>
      <c r="AV15" s="1"/>
      <c r="AW15" s="1"/>
      <c r="AX15" s="68"/>
      <c r="AY15" s="259"/>
      <c r="AZ15" s="213"/>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row>
    <row r="16" spans="1:101">
      <c r="A16" s="1"/>
      <c r="B16" s="1"/>
      <c r="C16" s="1">
        <f ca="1">C15/Input!D19</f>
        <v>5.8</v>
      </c>
      <c r="D16" s="1"/>
      <c r="E16" s="1"/>
      <c r="F16" s="1"/>
      <c r="G16" s="1"/>
      <c r="H16" s="1"/>
      <c r="I16" s="1"/>
      <c r="J16" s="1"/>
      <c r="K16" s="1"/>
      <c r="L16" s="1"/>
      <c r="M16" s="1"/>
      <c r="N16" s="1"/>
      <c r="O16" s="5"/>
      <c r="P16" s="6" t="s">
        <v>473</v>
      </c>
      <c r="Q16" s="53" t="s">
        <v>473</v>
      </c>
      <c r="R16" s="53" t="s">
        <v>474</v>
      </c>
      <c r="S16" s="7" t="s">
        <v>474</v>
      </c>
      <c r="T16" s="1"/>
      <c r="U16" s="1"/>
      <c r="V16" s="5"/>
      <c r="W16" s="6" t="s">
        <v>473</v>
      </c>
      <c r="X16" s="104" t="s">
        <v>473</v>
      </c>
      <c r="Y16" s="104" t="s">
        <v>474</v>
      </c>
      <c r="Z16" s="7" t="s">
        <v>474</v>
      </c>
      <c r="AA16" s="1"/>
      <c r="AB16" s="1"/>
      <c r="AC16" s="1"/>
      <c r="AD16" s="1"/>
      <c r="AE16" s="434" t="s">
        <v>625</v>
      </c>
      <c r="AF16" s="355" t="str">
        <f>Input!D24</f>
        <v xml:space="preserve">excluded </v>
      </c>
      <c r="AG16" s="385">
        <f>IF(Input!D24="Inspection",VLOOKUP(Input!$D$13,Table_options,7,FALSE),VLOOKUP(Input!D13,Table_options,8,FALSE))</f>
        <v>1650</v>
      </c>
      <c r="AH16" s="355">
        <f>IF(OR(AF16="Inspection",AF16="Inspection &amp; replacement"),AG16,0)</f>
        <v>0</v>
      </c>
      <c r="AI16" s="1"/>
      <c r="AJ16" s="1"/>
      <c r="AK16" s="1"/>
      <c r="AL16" s="1"/>
      <c r="AM16" s="1"/>
      <c r="AN16" s="1"/>
      <c r="AO16" s="1"/>
      <c r="AP16" s="1"/>
      <c r="AQ16" s="1"/>
      <c r="AR16" s="1"/>
      <c r="AS16" s="1"/>
      <c r="AT16" s="1"/>
      <c r="AU16" s="1"/>
      <c r="AV16" s="1"/>
      <c r="AW16" s="1"/>
      <c r="AX16" s="68"/>
      <c r="AY16" s="124"/>
      <c r="AZ16" s="213"/>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row>
    <row r="17" spans="1:101" ht="15.75" customHeight="1">
      <c r="A17" s="1"/>
      <c r="B17" s="1"/>
      <c r="C17" s="1"/>
      <c r="D17" s="1"/>
      <c r="E17" s="1"/>
      <c r="F17" s="1"/>
      <c r="G17" s="1"/>
      <c r="H17" s="1"/>
      <c r="I17" s="1"/>
      <c r="J17" s="1"/>
      <c r="K17" s="1"/>
      <c r="L17" s="1"/>
      <c r="M17" s="1"/>
      <c r="N17" s="1"/>
      <c r="O17" s="22"/>
      <c r="P17" s="13" t="s">
        <v>459</v>
      </c>
      <c r="Q17" s="18" t="s">
        <v>458</v>
      </c>
      <c r="R17" s="18" t="s">
        <v>459</v>
      </c>
      <c r="S17" s="10" t="s">
        <v>458</v>
      </c>
      <c r="T17" s="1"/>
      <c r="U17" s="1"/>
      <c r="V17" s="22"/>
      <c r="W17" s="13" t="s">
        <v>458</v>
      </c>
      <c r="X17" s="18" t="s">
        <v>458</v>
      </c>
      <c r="Y17" s="18" t="s">
        <v>459</v>
      </c>
      <c r="Z17" s="10" t="s">
        <v>458</v>
      </c>
      <c r="AA17" s="25"/>
      <c r="AB17" s="25"/>
      <c r="AC17" s="25"/>
      <c r="AD17" s="1"/>
      <c r="AE17" s="434" t="s">
        <v>622</v>
      </c>
      <c r="AF17" s="355" t="str">
        <f>Input!D25</f>
        <v xml:space="preserve">excluded </v>
      </c>
      <c r="AG17" s="385">
        <f>VLOOKUP(Input!$D$13,Table_options,9,FALSE)</f>
        <v>250</v>
      </c>
      <c r="AH17" s="355">
        <f>IF(AF17="included",AG17,0)</f>
        <v>0</v>
      </c>
      <c r="AI17" s="1"/>
      <c r="AJ17" s="1"/>
      <c r="AK17" s="1"/>
      <c r="AL17" s="1"/>
      <c r="AM17" s="1"/>
      <c r="AN17" s="1"/>
      <c r="AO17" s="1"/>
      <c r="AP17" s="1"/>
      <c r="AQ17" s="1"/>
      <c r="AR17" s="1"/>
      <c r="AS17" s="1"/>
      <c r="AT17" s="1"/>
      <c r="AU17" s="1"/>
      <c r="AV17" s="1"/>
      <c r="AW17" s="1"/>
      <c r="AX17" s="68"/>
      <c r="AY17" s="124"/>
      <c r="AZ17" s="213"/>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row>
    <row r="18" spans="1:101" ht="15.75" customHeight="1" thickBot="1">
      <c r="A18" s="1"/>
      <c r="B18" s="831" t="s">
        <v>167</v>
      </c>
      <c r="C18" s="832"/>
      <c r="D18" s="832"/>
      <c r="E18" s="832"/>
      <c r="F18" s="1"/>
      <c r="G18" s="1"/>
      <c r="H18" s="1"/>
      <c r="I18" s="1"/>
      <c r="J18" s="1"/>
      <c r="K18" s="1"/>
      <c r="L18" s="1"/>
      <c r="M18" s="1"/>
      <c r="N18" s="1"/>
      <c r="O18" s="81" t="s">
        <v>180</v>
      </c>
      <c r="P18" s="73">
        <f ca="1">(P7*Q7/$C$75)*C77+P7*Q7/$C$75</f>
        <v>3731.6</v>
      </c>
      <c r="Q18" s="71">
        <f ca="1">(P7*R7/$C$75)*$C$77+P7*R7/$C$75</f>
        <v>2356.8000000000002</v>
      </c>
      <c r="R18" s="71">
        <f t="shared" ref="R18:R23" ca="1" si="5">(P7*Q7)</f>
        <v>18658</v>
      </c>
      <c r="S18" s="90">
        <f t="shared" ref="S18:S23" ca="1" si="6">(P7*R7)</f>
        <v>11784</v>
      </c>
      <c r="T18" s="1"/>
      <c r="U18" s="1"/>
      <c r="V18" s="81" t="s">
        <v>180</v>
      </c>
      <c r="W18" s="73">
        <f>(P7*W7/$C$75)*C77+P7*W7/$C$75</f>
        <v>0</v>
      </c>
      <c r="X18" s="71">
        <f t="shared" ref="X18:X23" si="7">W6*Y6/$C$75</f>
        <v>0</v>
      </c>
      <c r="Y18" s="71">
        <f t="shared" ref="Y18:Y23" si="8">(P7*W7)*$C$77+P7*W7</f>
        <v>0</v>
      </c>
      <c r="Z18" s="90">
        <f t="shared" ref="Z18:Z23" si="9">(W6*Y6)</f>
        <v>0</v>
      </c>
      <c r="AA18" s="25"/>
      <c r="AB18" s="25"/>
      <c r="AC18" s="25"/>
      <c r="AD18" s="1"/>
      <c r="AE18" s="434" t="s">
        <v>621</v>
      </c>
      <c r="AF18" s="355" t="str">
        <f>Input!D26</f>
        <v xml:space="preserve">excluded </v>
      </c>
      <c r="AG18" s="385">
        <f>VLOOKUP(Input!$D$13,Table_options,10,FALSE)</f>
        <v>3000</v>
      </c>
      <c r="AH18" s="355">
        <f t="shared" si="4"/>
        <v>0</v>
      </c>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row>
    <row r="19" spans="1:101" ht="19.5" thickBot="1">
      <c r="A19" s="1"/>
      <c r="B19" s="5" t="s">
        <v>166</v>
      </c>
      <c r="C19" s="6" t="s">
        <v>157</v>
      </c>
      <c r="D19" s="104" t="s">
        <v>165</v>
      </c>
      <c r="E19" s="7" t="s">
        <v>159</v>
      </c>
      <c r="F19" s="1"/>
      <c r="G19" s="1"/>
      <c r="H19" s="831" t="s">
        <v>168</v>
      </c>
      <c r="I19" s="832"/>
      <c r="J19" s="832"/>
      <c r="K19" s="846"/>
      <c r="L19" s="1"/>
      <c r="M19" s="1"/>
      <c r="N19" s="1"/>
      <c r="O19" s="81" t="s">
        <v>181</v>
      </c>
      <c r="P19" s="73">
        <f ca="1">(P8*Q8/$C$75)*C77+P8*Q8/$C$75</f>
        <v>1192</v>
      </c>
      <c r="Q19" s="71">
        <f t="shared" ref="Q19:Q23" ca="1" si="10">(P8*R8/$C$75)*$C$77+P8*R8/$C$75</f>
        <v>953.6</v>
      </c>
      <c r="R19" s="71">
        <f t="shared" ca="1" si="5"/>
        <v>5960</v>
      </c>
      <c r="S19" s="90">
        <f t="shared" ca="1" si="6"/>
        <v>4768</v>
      </c>
      <c r="T19" s="1"/>
      <c r="U19" s="1"/>
      <c r="V19" s="81" t="s">
        <v>181</v>
      </c>
      <c r="W19" s="73">
        <f>(P8*W8/$C$75)*$C$77+(P8*W8/$C$75)</f>
        <v>0</v>
      </c>
      <c r="X19" s="71">
        <f t="shared" si="7"/>
        <v>0</v>
      </c>
      <c r="Y19" s="71">
        <f t="shared" si="8"/>
        <v>0</v>
      </c>
      <c r="Z19" s="90">
        <f t="shared" si="9"/>
        <v>0</v>
      </c>
      <c r="AA19" s="25"/>
      <c r="AB19" s="25"/>
      <c r="AC19" s="25"/>
      <c r="AD19" s="1"/>
      <c r="AE19" s="432" t="s">
        <v>623</v>
      </c>
      <c r="AF19" s="355" t="str">
        <f>Input!D27</f>
        <v xml:space="preserve">excluded </v>
      </c>
      <c r="AG19" s="385">
        <f>VLOOKUP(Input!$D$13,Table_options,11,FALSE)</f>
        <v>297.39999999999998</v>
      </c>
      <c r="AH19" s="355">
        <f t="shared" si="4"/>
        <v>0</v>
      </c>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row>
    <row r="20" spans="1:101" ht="18" customHeight="1">
      <c r="A20" s="1"/>
      <c r="B20" s="388" t="s">
        <v>160</v>
      </c>
      <c r="C20" s="391">
        <f>'Scheduled Maintenance'!D38</f>
        <v>1</v>
      </c>
      <c r="D20" s="71">
        <f ca="1">'Scheduled Maintenance'!F38</f>
        <v>10</v>
      </c>
      <c r="E20" s="58">
        <f ca="1">'Scheduled Maintenance'!J38</f>
        <v>2</v>
      </c>
      <c r="F20" s="76"/>
      <c r="G20" s="76"/>
      <c r="H20" s="19"/>
      <c r="I20" s="12" t="s">
        <v>158</v>
      </c>
      <c r="J20" s="12" t="s">
        <v>169</v>
      </c>
      <c r="K20" s="20" t="s">
        <v>159</v>
      </c>
      <c r="L20" s="1"/>
      <c r="M20" s="1"/>
      <c r="N20" s="1"/>
      <c r="O20" s="81" t="s">
        <v>182</v>
      </c>
      <c r="P20" s="73">
        <f ca="1">(P9*Q9/$C$75)*C77+P9*Q9/$C$75</f>
        <v>0.01</v>
      </c>
      <c r="Q20" s="71">
        <f t="shared" ca="1" si="10"/>
        <v>8.0000000000000002E-3</v>
      </c>
      <c r="R20" s="71">
        <f t="shared" ca="1" si="5"/>
        <v>0.05</v>
      </c>
      <c r="S20" s="90">
        <f t="shared" ca="1" si="6"/>
        <v>0.04</v>
      </c>
      <c r="T20" s="1"/>
      <c r="U20" s="1"/>
      <c r="V20" s="81" t="s">
        <v>182</v>
      </c>
      <c r="W20" s="73">
        <f>(P9*W9/$C$75)*$C$77+(P9*W9/$C$75)</f>
        <v>0</v>
      </c>
      <c r="X20" s="71">
        <f t="shared" si="7"/>
        <v>0</v>
      </c>
      <c r="Y20" s="71">
        <f t="shared" si="8"/>
        <v>0</v>
      </c>
      <c r="Z20" s="90">
        <f t="shared" si="9"/>
        <v>0</v>
      </c>
      <c r="AA20" s="25"/>
      <c r="AB20" s="25"/>
      <c r="AC20" s="25"/>
      <c r="AD20" s="1"/>
      <c r="AE20" s="434" t="s">
        <v>624</v>
      </c>
      <c r="AF20" s="355" t="str">
        <f>Input!G17</f>
        <v xml:space="preserve">excluded </v>
      </c>
      <c r="AG20" s="385">
        <f>VLOOKUP(Input!$D$13,Table_options,12,FALSE)</f>
        <v>500</v>
      </c>
      <c r="AH20" s="355">
        <f t="shared" si="4"/>
        <v>0</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row>
    <row r="21" spans="1:101" ht="15.75" thickBot="1">
      <c r="A21" s="1"/>
      <c r="B21" s="388" t="s">
        <v>687</v>
      </c>
      <c r="C21" s="391">
        <f>'Scheduled Maintenance'!D39</f>
        <v>1</v>
      </c>
      <c r="D21" s="71">
        <f>'Scheduled Maintenance'!F39</f>
        <v>5</v>
      </c>
      <c r="E21" s="58">
        <f>'Scheduled Maintenance'!J39</f>
        <v>1</v>
      </c>
      <c r="F21" s="76"/>
      <c r="G21" s="76"/>
      <c r="H21" s="78"/>
      <c r="I21" s="74">
        <f>Input!G12/C71*2</f>
        <v>2.7777777777777777</v>
      </c>
      <c r="J21" s="77">
        <f>Input!G12*2</f>
        <v>200</v>
      </c>
      <c r="K21" s="75">
        <f>(I21*C67)+(J21*C70)</f>
        <v>171.33333333333331</v>
      </c>
      <c r="L21" s="1"/>
      <c r="M21" s="1"/>
      <c r="N21" s="1"/>
      <c r="O21" s="81" t="s">
        <v>192</v>
      </c>
      <c r="P21" s="73">
        <f>(P10*Q10/$C$75)*C77+P10*Q10/$C$75</f>
        <v>0</v>
      </c>
      <c r="Q21" s="71">
        <f t="shared" si="10"/>
        <v>0</v>
      </c>
      <c r="R21" s="71">
        <f t="shared" si="5"/>
        <v>0</v>
      </c>
      <c r="S21" s="90">
        <f t="shared" si="6"/>
        <v>0</v>
      </c>
      <c r="T21" s="1"/>
      <c r="U21" s="1"/>
      <c r="V21" s="81" t="s">
        <v>192</v>
      </c>
      <c r="W21" s="73">
        <f>(P10*W10/$C$75)*$C$77+(P10*W10/$C$75)</f>
        <v>0</v>
      </c>
      <c r="X21" s="71">
        <f t="shared" si="7"/>
        <v>0</v>
      </c>
      <c r="Y21" s="71">
        <f t="shared" si="8"/>
        <v>0</v>
      </c>
      <c r="Z21" s="90">
        <f t="shared" si="9"/>
        <v>0</v>
      </c>
      <c r="AA21" s="25"/>
      <c r="AB21" s="25"/>
      <c r="AC21" s="25"/>
      <c r="AD21" s="1"/>
      <c r="AE21" s="432" t="s">
        <v>626</v>
      </c>
      <c r="AF21" s="355" t="str">
        <f>Input!G18</f>
        <v xml:space="preserve">excluded </v>
      </c>
      <c r="AG21" s="385">
        <f>VLOOKUP(Input!$D$13,Table_options,13,FALSE)</f>
        <v>350</v>
      </c>
      <c r="AH21" s="355">
        <f t="shared" si="4"/>
        <v>0</v>
      </c>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row>
    <row r="22" spans="1:101" ht="15.75" thickBot="1">
      <c r="A22" s="1"/>
      <c r="B22" s="388" t="s">
        <v>688</v>
      </c>
      <c r="C22" s="391">
        <f>'Scheduled Maintenance'!D40</f>
        <v>1</v>
      </c>
      <c r="D22" s="71">
        <f>'Scheduled Maintenance'!F40</f>
        <v>5</v>
      </c>
      <c r="E22" s="58">
        <f>'Scheduled Maintenance'!J40</f>
        <v>1</v>
      </c>
      <c r="F22" s="52"/>
      <c r="G22" s="52"/>
      <c r="H22" s="15" t="s">
        <v>456</v>
      </c>
      <c r="I22" s="49">
        <f>Input!G12*(C72*2)/C71</f>
        <v>2.7777777777777777</v>
      </c>
      <c r="J22" s="50">
        <f>J21*(C72*2)</f>
        <v>400</v>
      </c>
      <c r="K22" s="51">
        <f>IF(Input!G12=0,0,(C72*C67)+(J22*C70))</f>
        <v>206</v>
      </c>
      <c r="L22" s="1"/>
      <c r="M22" s="1"/>
      <c r="N22" s="1"/>
      <c r="O22" s="81" t="s">
        <v>193</v>
      </c>
      <c r="P22" s="73">
        <f>(P11*Q11/$C$75)*C77+P11*Q11/$C$75</f>
        <v>0</v>
      </c>
      <c r="Q22" s="71">
        <f t="shared" si="10"/>
        <v>0</v>
      </c>
      <c r="R22" s="71">
        <f t="shared" si="5"/>
        <v>0</v>
      </c>
      <c r="S22" s="90">
        <f t="shared" si="6"/>
        <v>0</v>
      </c>
      <c r="T22" s="1"/>
      <c r="U22" s="1"/>
      <c r="V22" s="81" t="s">
        <v>193</v>
      </c>
      <c r="W22" s="73">
        <f>(P11*W11/$C$75)*$C$77+(P11*W11/$C$75)</f>
        <v>0</v>
      </c>
      <c r="X22" s="71">
        <f t="shared" si="7"/>
        <v>0</v>
      </c>
      <c r="Y22" s="71">
        <f t="shared" si="8"/>
        <v>0</v>
      </c>
      <c r="Z22" s="90">
        <f t="shared" si="9"/>
        <v>0</v>
      </c>
      <c r="AA22" s="25"/>
      <c r="AB22" s="25"/>
      <c r="AC22" s="25"/>
      <c r="AD22" s="1"/>
      <c r="AE22" s="432" t="s">
        <v>627</v>
      </c>
      <c r="AF22" s="355" t="str">
        <f>Input!G19</f>
        <v xml:space="preserve">excluded </v>
      </c>
      <c r="AG22" s="385">
        <f>VLOOKUP(Input!$D$13,Table_options,14,FALSE)</f>
        <v>300</v>
      </c>
      <c r="AH22" s="355">
        <f t="shared" si="4"/>
        <v>0</v>
      </c>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row>
    <row r="23" spans="1:101" ht="15.75" thickBot="1">
      <c r="A23" s="1"/>
      <c r="B23" s="388" t="s">
        <v>689</v>
      </c>
      <c r="C23" s="391">
        <f>'Scheduled Maintenance'!D41</f>
        <v>1</v>
      </c>
      <c r="D23" s="71">
        <f ca="1">'Scheduled Maintenance'!F41</f>
        <v>1</v>
      </c>
      <c r="E23" s="58">
        <f ca="1">'Scheduled Maintenance'!J41</f>
        <v>0.2</v>
      </c>
      <c r="F23" s="1"/>
      <c r="G23" s="1"/>
      <c r="H23" s="1"/>
      <c r="I23" s="1"/>
      <c r="J23" s="1"/>
      <c r="K23" s="1"/>
      <c r="L23" s="1"/>
      <c r="M23" s="1"/>
      <c r="N23" s="1"/>
      <c r="O23" s="82" t="s">
        <v>194</v>
      </c>
      <c r="P23" s="73">
        <f ca="1">(P12*Q12/$C$75)*C77+P12*Q12/$C$75</f>
        <v>537</v>
      </c>
      <c r="Q23" s="71">
        <f t="shared" ca="1" si="10"/>
        <v>429.6</v>
      </c>
      <c r="R23" s="71">
        <f t="shared" ca="1" si="5"/>
        <v>2685</v>
      </c>
      <c r="S23" s="90">
        <f t="shared" ca="1" si="6"/>
        <v>2148</v>
      </c>
      <c r="T23" s="1"/>
      <c r="U23" s="1"/>
      <c r="V23" s="82" t="s">
        <v>194</v>
      </c>
      <c r="W23" s="73">
        <f>(P12*W12/$C$75)*$C$77+(P12*W12/$C$75)</f>
        <v>0</v>
      </c>
      <c r="X23" s="71">
        <f t="shared" si="7"/>
        <v>0</v>
      </c>
      <c r="Y23" s="71">
        <f t="shared" si="8"/>
        <v>0</v>
      </c>
      <c r="Z23" s="90">
        <f t="shared" si="9"/>
        <v>0</v>
      </c>
      <c r="AA23" s="25"/>
      <c r="AB23" s="25"/>
      <c r="AC23" s="25"/>
      <c r="AD23" s="1"/>
      <c r="AE23" s="432" t="s">
        <v>628</v>
      </c>
      <c r="AF23" s="355" t="str">
        <f>Input!G20</f>
        <v xml:space="preserve">excluded </v>
      </c>
      <c r="AG23" s="385">
        <f>VLOOKUP(Input!$D$13,Table_options,15,FALSE)</f>
        <v>0</v>
      </c>
      <c r="AH23" s="355">
        <f t="shared" si="4"/>
        <v>0</v>
      </c>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row>
    <row r="24" spans="1:101" ht="15.75" thickBot="1">
      <c r="A24" s="1"/>
      <c r="B24" s="388" t="s">
        <v>690</v>
      </c>
      <c r="C24" s="391">
        <f>'Scheduled Maintenance'!D42</f>
        <v>1</v>
      </c>
      <c r="D24" s="71">
        <f ca="1">'Scheduled Maintenance'!F42</f>
        <v>3</v>
      </c>
      <c r="E24" s="58">
        <f ca="1">'Scheduled Maintenance'!J42</f>
        <v>0.6</v>
      </c>
      <c r="F24" s="1"/>
      <c r="G24" s="1"/>
      <c r="H24" s="1"/>
      <c r="I24" s="1"/>
      <c r="J24" s="1"/>
      <c r="K24" s="1"/>
      <c r="L24" s="1"/>
      <c r="M24" s="1"/>
      <c r="N24" s="1"/>
      <c r="O24" s="15" t="s">
        <v>475</v>
      </c>
      <c r="P24" s="59">
        <f ca="1">SUM(P18:P23)</f>
        <v>5460.6100000000006</v>
      </c>
      <c r="Q24" s="59">
        <f ca="1">SUM(Q18:Q23)</f>
        <v>3740.0079999999998</v>
      </c>
      <c r="R24" s="59">
        <f ca="1">SUM(R18:R23)</f>
        <v>27303.05</v>
      </c>
      <c r="S24" s="55">
        <f ca="1">SUM(S18:S23)</f>
        <v>18700.04</v>
      </c>
      <c r="T24" s="1"/>
      <c r="U24" s="1"/>
      <c r="V24" s="15" t="s">
        <v>475</v>
      </c>
      <c r="W24" s="59">
        <f>SUM(W18:W23)</f>
        <v>0</v>
      </c>
      <c r="X24" s="59">
        <f>SUM(X18:X23)</f>
        <v>0</v>
      </c>
      <c r="Y24" s="59">
        <f>SUM(Y18:Y23)</f>
        <v>0</v>
      </c>
      <c r="Z24" s="55">
        <f>SUM(Z18:Z23)</f>
        <v>0</v>
      </c>
      <c r="AA24" s="25"/>
      <c r="AB24" s="25"/>
      <c r="AC24" s="25"/>
      <c r="AD24" s="1"/>
      <c r="AE24" s="432" t="s">
        <v>629</v>
      </c>
      <c r="AF24" s="355" t="str">
        <f>Input!G21</f>
        <v xml:space="preserve">excluded </v>
      </c>
      <c r="AG24" s="385">
        <f>VLOOKUP(Input!$D$13,Table_options,16,FALSE)</f>
        <v>320</v>
      </c>
      <c r="AH24" s="355">
        <f t="shared" si="4"/>
        <v>0</v>
      </c>
      <c r="AI24" s="1"/>
      <c r="AJ24" s="1"/>
      <c r="AK24" s="1"/>
      <c r="AL24" s="1"/>
      <c r="AM24" s="1"/>
      <c r="AN24" s="1"/>
      <c r="AO24" s="1"/>
      <c r="AP24" s="1"/>
      <c r="AQ24" s="1"/>
      <c r="AR24" s="1"/>
      <c r="AS24" s="1"/>
      <c r="AT24" s="1"/>
      <c r="AU24" s="1"/>
      <c r="AV24" s="1"/>
      <c r="AW24" s="1"/>
      <c r="AX24" s="68"/>
      <c r="AY24" s="209"/>
      <c r="AZ24" s="210"/>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row>
    <row r="25" spans="1:101">
      <c r="A25" s="1"/>
      <c r="B25" s="388" t="s">
        <v>691</v>
      </c>
      <c r="C25" s="391">
        <f>'Scheduled Maintenance'!D43</f>
        <v>1</v>
      </c>
      <c r="D25" s="71">
        <f ca="1">'Scheduled Maintenance'!F43</f>
        <v>2</v>
      </c>
      <c r="E25" s="58">
        <f ca="1">'Scheduled Maintenance'!J43</f>
        <v>0.4</v>
      </c>
      <c r="F25" s="1"/>
      <c r="G25" s="1"/>
      <c r="H25" s="1"/>
      <c r="I25" s="1"/>
      <c r="J25" s="1"/>
      <c r="K25" s="1"/>
      <c r="L25" s="1"/>
      <c r="M25" s="1"/>
      <c r="N25" s="1"/>
      <c r="O25" s="1"/>
      <c r="P25" s="1"/>
      <c r="Q25" s="1"/>
      <c r="R25" s="1"/>
      <c r="S25" s="1"/>
      <c r="T25" s="1"/>
      <c r="U25" s="1"/>
      <c r="V25" s="69"/>
      <c r="W25" s="68"/>
      <c r="X25" s="68"/>
      <c r="Y25" s="68"/>
      <c r="Z25" s="68"/>
      <c r="AA25" s="25"/>
      <c r="AB25" s="25"/>
      <c r="AC25" s="25"/>
      <c r="AD25" s="1"/>
      <c r="AE25" s="398" t="s">
        <v>776</v>
      </c>
      <c r="AF25" s="355" t="str">
        <f>Input!G22</f>
        <v xml:space="preserve">excluded </v>
      </c>
      <c r="AG25" s="385">
        <f>VLOOKUP(Input!$D$13,Table_options,17,FALSE)</f>
        <v>0</v>
      </c>
      <c r="AH25" s="355">
        <f>IF(Input!G23="Included",'Cost Calculation'!AG25,0)</f>
        <v>0</v>
      </c>
      <c r="AI25" s="1"/>
      <c r="AJ25" s="1"/>
      <c r="AK25" s="1"/>
      <c r="AL25" s="1"/>
      <c r="AM25" s="1"/>
      <c r="AN25" s="1"/>
      <c r="AO25" s="1"/>
      <c r="AP25" s="1"/>
      <c r="AQ25" s="1"/>
      <c r="AR25" s="1"/>
      <c r="AS25" s="1"/>
      <c r="AT25" s="1"/>
      <c r="AU25" s="1"/>
      <c r="AV25" s="1"/>
      <c r="AW25" s="1"/>
      <c r="AX25" s="830"/>
      <c r="AY25" s="830"/>
      <c r="AZ25" s="830"/>
      <c r="BA25" s="212"/>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row>
    <row r="26" spans="1:101" ht="19.5" thickBot="1">
      <c r="A26" s="1"/>
      <c r="B26" s="388" t="s">
        <v>692</v>
      </c>
      <c r="C26" s="391">
        <f>'Scheduled Maintenance'!D44</f>
        <v>1</v>
      </c>
      <c r="D26" s="71">
        <f ca="1">'Scheduled Maintenance'!F44</f>
        <v>1</v>
      </c>
      <c r="E26" s="58">
        <f ca="1">'Scheduled Maintenance'!J44</f>
        <v>0.2</v>
      </c>
      <c r="F26" s="1"/>
      <c r="G26" s="1"/>
      <c r="H26" s="1"/>
      <c r="I26" s="1"/>
      <c r="J26" s="1"/>
      <c r="K26" s="1"/>
      <c r="L26" s="1"/>
      <c r="M26" s="1"/>
      <c r="N26" s="1"/>
      <c r="O26" s="831" t="s">
        <v>185</v>
      </c>
      <c r="P26" s="832"/>
      <c r="Q26" s="832"/>
      <c r="R26" s="832"/>
      <c r="S26" s="832"/>
      <c r="T26" s="1"/>
      <c r="U26" s="1"/>
      <c r="V26" s="831" t="s">
        <v>498</v>
      </c>
      <c r="W26" s="832"/>
      <c r="X26" s="832"/>
      <c r="Y26" s="832"/>
      <c r="Z26" s="832"/>
      <c r="AA26" s="25"/>
      <c r="AB26" s="25"/>
      <c r="AC26" s="25"/>
      <c r="AD26" s="1"/>
      <c r="AE26" s="525" t="s">
        <v>802</v>
      </c>
      <c r="AF26" s="355">
        <f>Input!G23</f>
        <v>500</v>
      </c>
      <c r="AG26" s="385">
        <f>VLOOKUP(Input!$D$13,Table_options,18,FALSE)</f>
        <v>500</v>
      </c>
      <c r="AH26" s="355">
        <f>AG26</f>
        <v>500</v>
      </c>
      <c r="AI26" s="1"/>
      <c r="AJ26" s="1"/>
      <c r="AK26" s="1"/>
      <c r="AL26" s="1"/>
      <c r="AM26" s="1"/>
      <c r="AN26" s="1"/>
      <c r="AO26" s="1"/>
      <c r="AP26" s="1"/>
      <c r="AQ26" s="1"/>
      <c r="AR26" s="1"/>
      <c r="AS26" s="1"/>
      <c r="AT26" s="1"/>
      <c r="AU26" s="1"/>
      <c r="AV26" s="1"/>
      <c r="AW26" s="1"/>
      <c r="AX26" s="867"/>
      <c r="AY26" s="867"/>
      <c r="AZ26" s="867"/>
      <c r="BA26" s="212"/>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row>
    <row r="27" spans="1:101" ht="15.75" thickBot="1">
      <c r="A27" s="1"/>
      <c r="B27" s="388" t="s">
        <v>693</v>
      </c>
      <c r="C27" s="391">
        <f>'Scheduled Maintenance'!D45</f>
        <v>1</v>
      </c>
      <c r="D27" s="71">
        <f ca="1">'Scheduled Maintenance'!F45</f>
        <v>1</v>
      </c>
      <c r="E27" s="58">
        <f ca="1">'Scheduled Maintenance'!J45</f>
        <v>0.2</v>
      </c>
      <c r="F27" s="1"/>
      <c r="G27" s="1"/>
      <c r="H27" s="1"/>
      <c r="I27" s="1"/>
      <c r="J27" s="1"/>
      <c r="K27" s="1"/>
      <c r="L27" s="1"/>
      <c r="M27" s="1"/>
      <c r="N27" s="1"/>
      <c r="O27" s="5"/>
      <c r="P27" s="6" t="s">
        <v>473</v>
      </c>
      <c r="Q27" s="53" t="s">
        <v>473</v>
      </c>
      <c r="R27" s="53" t="s">
        <v>474</v>
      </c>
      <c r="S27" s="7" t="s">
        <v>474</v>
      </c>
      <c r="T27" s="1"/>
      <c r="U27" s="1"/>
      <c r="V27" s="5"/>
      <c r="W27" s="6" t="s">
        <v>473</v>
      </c>
      <c r="X27" s="104" t="s">
        <v>473</v>
      </c>
      <c r="Y27" s="104" t="s">
        <v>474</v>
      </c>
      <c r="Z27" s="7" t="s">
        <v>474</v>
      </c>
      <c r="AA27" s="25"/>
      <c r="AB27" s="25"/>
      <c r="AC27" s="25"/>
      <c r="AD27" s="1"/>
      <c r="AE27" s="432" t="s">
        <v>803</v>
      </c>
      <c r="AF27" s="355">
        <f>Input!G24</f>
        <v>200</v>
      </c>
      <c r="AG27" s="385">
        <f>VLOOKUP(Input!$D$13,Table_options,19,FALSE)</f>
        <v>200</v>
      </c>
      <c r="AH27" s="355">
        <f t="shared" ref="AH27:AH29" si="11">AG27</f>
        <v>200</v>
      </c>
      <c r="AI27" s="1"/>
      <c r="AJ27" s="1"/>
      <c r="AK27" s="1"/>
      <c r="AL27" s="1"/>
      <c r="AM27" s="1"/>
      <c r="AN27" s="1"/>
      <c r="AO27" s="1"/>
      <c r="AP27" s="1"/>
      <c r="AQ27" s="1"/>
      <c r="AR27" s="1"/>
      <c r="AS27" s="1"/>
      <c r="AT27" s="1"/>
      <c r="AU27" s="1"/>
      <c r="AV27" s="1"/>
      <c r="AW27" s="1"/>
      <c r="AX27" s="83"/>
      <c r="AY27" s="261"/>
      <c r="AZ27" s="260"/>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row>
    <row r="28" spans="1:101" ht="15.75" thickBot="1">
      <c r="A28" s="1"/>
      <c r="B28" s="388" t="s">
        <v>694</v>
      </c>
      <c r="C28" s="391">
        <f>'Scheduled Maintenance'!D46</f>
        <v>1</v>
      </c>
      <c r="D28" s="71">
        <f ca="1">'Scheduled Maintenance'!F46</f>
        <v>1</v>
      </c>
      <c r="E28" s="58">
        <f ca="1">'Scheduled Maintenance'!J46</f>
        <v>0.2</v>
      </c>
      <c r="F28" s="1"/>
      <c r="G28" s="1"/>
      <c r="H28" s="1"/>
      <c r="I28" s="1"/>
      <c r="J28" s="1"/>
      <c r="K28" s="1"/>
      <c r="L28" s="1"/>
      <c r="M28" s="1"/>
      <c r="N28" s="1"/>
      <c r="O28" s="22"/>
      <c r="P28" s="13" t="s">
        <v>459</v>
      </c>
      <c r="Q28" s="18" t="s">
        <v>458</v>
      </c>
      <c r="R28" s="18" t="s">
        <v>459</v>
      </c>
      <c r="S28" s="10" t="s">
        <v>458</v>
      </c>
      <c r="T28" s="1"/>
      <c r="U28" s="1"/>
      <c r="V28" s="22"/>
      <c r="W28" s="13" t="s">
        <v>458</v>
      </c>
      <c r="X28" s="18" t="s">
        <v>458</v>
      </c>
      <c r="Y28" s="18" t="s">
        <v>459</v>
      </c>
      <c r="Z28" s="10" t="s">
        <v>458</v>
      </c>
      <c r="AA28" s="25"/>
      <c r="AB28" s="25"/>
      <c r="AC28" s="25"/>
      <c r="AD28" s="1"/>
      <c r="AE28" s="398" t="s">
        <v>804</v>
      </c>
      <c r="AF28" s="355">
        <f>Input!G25</f>
        <v>100</v>
      </c>
      <c r="AG28" s="385">
        <f>VLOOKUP(Input!$D$13,Table_options,20,FALSE)</f>
        <v>100</v>
      </c>
      <c r="AH28" s="355">
        <f t="shared" si="11"/>
        <v>100</v>
      </c>
      <c r="AI28" s="1"/>
      <c r="AJ28" s="1"/>
      <c r="AK28" s="1"/>
      <c r="AL28" s="1"/>
      <c r="AM28" s="1"/>
      <c r="AN28" s="1"/>
      <c r="AO28" s="1"/>
      <c r="AP28" s="1"/>
      <c r="AQ28" s="1"/>
      <c r="AR28" s="1"/>
      <c r="AS28" s="1"/>
      <c r="AT28" s="1"/>
      <c r="AU28" s="1"/>
      <c r="AV28" s="1"/>
      <c r="AW28" s="1"/>
      <c r="AX28" s="84"/>
      <c r="AY28" s="262"/>
      <c r="AZ28" s="254"/>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row>
    <row r="29" spans="1:101" ht="19.5" thickBot="1">
      <c r="A29" s="1"/>
      <c r="B29" s="388" t="s">
        <v>695</v>
      </c>
      <c r="C29" s="392">
        <f>'Scheduled Maintenance'!D47</f>
        <v>1</v>
      </c>
      <c r="D29" s="71">
        <f ca="1">'Scheduled Maintenance'!F47</f>
        <v>0</v>
      </c>
      <c r="E29" s="58">
        <f ca="1">'Scheduled Maintenance'!J47</f>
        <v>0</v>
      </c>
      <c r="F29" s="1"/>
      <c r="G29" s="1"/>
      <c r="H29" s="1"/>
      <c r="I29" s="1"/>
      <c r="J29" s="1"/>
      <c r="K29" s="1"/>
      <c r="L29" s="1"/>
      <c r="M29" s="1"/>
      <c r="N29" s="47"/>
      <c r="O29" s="81" t="s">
        <v>180</v>
      </c>
      <c r="P29" s="73">
        <f t="shared" ref="P29:P34" ca="1" si="12">S7*Q7/$C$75</f>
        <v>0.19</v>
      </c>
      <c r="Q29" s="71">
        <f t="shared" ref="Q29:Q34" ca="1" si="13">S7*R7/$C$75</f>
        <v>0.12</v>
      </c>
      <c r="R29" s="71">
        <f t="shared" ref="R29:R34" ca="1" si="14">S7*Q7</f>
        <v>0.95</v>
      </c>
      <c r="S29" s="90">
        <f t="shared" ref="S29:S34" ca="1" si="15">S7*R7</f>
        <v>0.6</v>
      </c>
      <c r="T29" s="1"/>
      <c r="U29" s="1"/>
      <c r="V29" s="81" t="s">
        <v>180</v>
      </c>
      <c r="W29" s="73">
        <f t="shared" ref="W29:W34" si="16">S7*W7/$C$75</f>
        <v>0</v>
      </c>
      <c r="X29" s="71">
        <f t="shared" ref="X29:X34" si="17">Z8*Y8/$C$75</f>
        <v>0</v>
      </c>
      <c r="Y29" s="71">
        <f t="shared" ref="Y29:Y34" si="18">S7*W7</f>
        <v>0</v>
      </c>
      <c r="Z29" s="90">
        <f t="shared" ref="Z29:Z34" si="19">Z8*Y8</f>
        <v>0</v>
      </c>
      <c r="AA29" s="25"/>
      <c r="AB29" s="25"/>
      <c r="AC29" s="25"/>
      <c r="AD29" s="1"/>
      <c r="AE29" s="432" t="s">
        <v>713</v>
      </c>
      <c r="AF29" s="355">
        <f>Input!G26</f>
        <v>0</v>
      </c>
      <c r="AG29" s="385">
        <f>VLOOKUP(Input!$D$13,Table_options,21,FALSE)</f>
        <v>0</v>
      </c>
      <c r="AH29" s="355">
        <f t="shared" si="11"/>
        <v>0</v>
      </c>
      <c r="AI29" s="1"/>
      <c r="AJ29" s="1"/>
      <c r="AK29" s="1"/>
      <c r="AL29" s="1"/>
      <c r="AM29" s="1"/>
      <c r="AN29" s="1"/>
      <c r="AO29" s="1"/>
      <c r="AP29" s="1"/>
      <c r="AQ29" s="1"/>
      <c r="AR29" s="1"/>
      <c r="AS29" s="1"/>
      <c r="AT29" s="1"/>
      <c r="AU29" s="1"/>
      <c r="AV29" s="1"/>
      <c r="AW29" s="1"/>
      <c r="AX29" s="84"/>
      <c r="AY29" s="262"/>
      <c r="AZ29" s="254"/>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row>
    <row r="30" spans="1:101" ht="19.5" thickBot="1">
      <c r="A30" s="1"/>
      <c r="B30" s="15" t="s">
        <v>456</v>
      </c>
      <c r="C30" s="16"/>
      <c r="D30" s="16"/>
      <c r="E30" s="55">
        <f ca="1">SUM(E20:E29)*C76+SUM(E20:E29)</f>
        <v>5.8000000000000007</v>
      </c>
      <c r="F30" s="1"/>
      <c r="G30" s="1"/>
      <c r="H30" s="845" t="s">
        <v>177</v>
      </c>
      <c r="I30" s="841"/>
      <c r="J30" s="841"/>
      <c r="K30" s="841"/>
      <c r="L30" s="1"/>
      <c r="M30" s="1"/>
      <c r="N30" s="83"/>
      <c r="O30" s="81" t="s">
        <v>181</v>
      </c>
      <c r="P30" s="73">
        <f t="shared" ca="1" si="12"/>
        <v>0.05</v>
      </c>
      <c r="Q30" s="71">
        <f t="shared" ca="1" si="13"/>
        <v>0.04</v>
      </c>
      <c r="R30" s="71">
        <f t="shared" ca="1" si="14"/>
        <v>0.25</v>
      </c>
      <c r="S30" s="90">
        <f t="shared" ca="1" si="15"/>
        <v>0.2</v>
      </c>
      <c r="T30" s="1"/>
      <c r="U30" s="1"/>
      <c r="V30" s="81" t="s">
        <v>181</v>
      </c>
      <c r="W30" s="73">
        <f t="shared" si="16"/>
        <v>0</v>
      </c>
      <c r="X30" s="71">
        <f t="shared" si="17"/>
        <v>0</v>
      </c>
      <c r="Y30" s="71">
        <f t="shared" si="18"/>
        <v>0</v>
      </c>
      <c r="Z30" s="90">
        <f t="shared" si="19"/>
        <v>0</v>
      </c>
      <c r="AA30" s="25"/>
      <c r="AB30" s="25"/>
      <c r="AC30" s="25"/>
      <c r="AD30" s="1"/>
      <c r="AE30" s="432" t="s">
        <v>768</v>
      </c>
      <c r="AF30" s="355">
        <f>Input!G27</f>
        <v>0</v>
      </c>
      <c r="AG30" s="385">
        <f>VLOOKUP(Input!$D$13,Table_options,22,FALSE)</f>
        <v>0</v>
      </c>
      <c r="AH30" s="355">
        <f>AG30</f>
        <v>0</v>
      </c>
      <c r="AI30" s="1"/>
      <c r="AJ30" s="1"/>
      <c r="AK30" s="1"/>
      <c r="AL30" s="1"/>
      <c r="AM30" s="1"/>
      <c r="AN30" s="1"/>
      <c r="AO30" s="1"/>
      <c r="AP30" s="1"/>
      <c r="AQ30" s="1"/>
      <c r="AR30" s="1"/>
      <c r="AS30" s="1"/>
      <c r="AT30" s="1"/>
      <c r="AU30" s="1"/>
      <c r="AV30" s="1"/>
      <c r="AW30" s="1"/>
      <c r="AX30" s="63"/>
      <c r="AY30" s="257"/>
      <c r="AZ30" s="258"/>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row>
    <row r="31" spans="1:101">
      <c r="A31" s="1"/>
      <c r="B31" s="1"/>
      <c r="C31" s="1"/>
      <c r="D31" s="1"/>
      <c r="E31" s="1"/>
      <c r="F31" s="1"/>
      <c r="G31" s="1"/>
      <c r="H31" s="79"/>
      <c r="I31" s="838" t="s">
        <v>159</v>
      </c>
      <c r="J31" s="838"/>
      <c r="K31" s="839"/>
      <c r="L31" s="1"/>
      <c r="M31" s="1"/>
      <c r="N31" s="84"/>
      <c r="O31" s="81" t="s">
        <v>182</v>
      </c>
      <c r="P31" s="73">
        <f t="shared" ca="1" si="12"/>
        <v>0.05</v>
      </c>
      <c r="Q31" s="71">
        <f t="shared" ca="1" si="13"/>
        <v>0.04</v>
      </c>
      <c r="R31" s="71">
        <f t="shared" ca="1" si="14"/>
        <v>0.25</v>
      </c>
      <c r="S31" s="90">
        <f t="shared" ca="1" si="15"/>
        <v>0.2</v>
      </c>
      <c r="T31" s="1"/>
      <c r="U31" s="1"/>
      <c r="V31" s="81" t="s">
        <v>182</v>
      </c>
      <c r="W31" s="73">
        <f t="shared" si="16"/>
        <v>0</v>
      </c>
      <c r="X31" s="71">
        <f t="shared" si="17"/>
        <v>0</v>
      </c>
      <c r="Y31" s="71">
        <f t="shared" si="18"/>
        <v>0</v>
      </c>
      <c r="Z31" s="90">
        <f t="shared" si="19"/>
        <v>0</v>
      </c>
      <c r="AA31" s="25"/>
      <c r="AB31" s="25"/>
      <c r="AC31" s="25"/>
      <c r="AD31" s="1"/>
      <c r="AE31" s="366" t="s">
        <v>718</v>
      </c>
      <c r="AF31" s="355"/>
      <c r="AG31" s="385">
        <f>VLOOKUP(Input!$D$13,Table_options,17,FALSE)</f>
        <v>0</v>
      </c>
      <c r="AH31" s="501">
        <f>SUM(AH12:AH30)</f>
        <v>1100</v>
      </c>
      <c r="AI31" s="1"/>
      <c r="AJ31" s="1"/>
      <c r="AK31" s="1"/>
      <c r="AL31" s="1"/>
      <c r="AM31" s="1"/>
      <c r="AN31" s="1"/>
      <c r="AO31" s="1"/>
      <c r="AP31" s="1"/>
      <c r="AQ31" s="1"/>
      <c r="AR31" s="1"/>
      <c r="AS31" s="1"/>
      <c r="AT31" s="1"/>
      <c r="AU31" s="1"/>
      <c r="AV31" s="1"/>
      <c r="AW31" s="1"/>
      <c r="AX31" s="84"/>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row>
    <row r="32" spans="1:101">
      <c r="A32" s="1"/>
      <c r="B32" s="1"/>
      <c r="C32" s="1"/>
      <c r="D32" s="1"/>
      <c r="E32" s="1"/>
      <c r="F32" s="1"/>
      <c r="G32" s="1"/>
      <c r="H32" s="11" t="s">
        <v>171</v>
      </c>
      <c r="I32" s="862">
        <f>I7</f>
        <v>31</v>
      </c>
      <c r="J32" s="847"/>
      <c r="K32" s="863"/>
      <c r="L32" s="1"/>
      <c r="M32" s="1"/>
      <c r="N32" s="84"/>
      <c r="O32" s="81" t="s">
        <v>192</v>
      </c>
      <c r="P32" s="73">
        <f t="shared" si="12"/>
        <v>0</v>
      </c>
      <c r="Q32" s="71">
        <f t="shared" si="13"/>
        <v>0</v>
      </c>
      <c r="R32" s="71">
        <f t="shared" si="14"/>
        <v>0</v>
      </c>
      <c r="S32" s="90">
        <f t="shared" si="15"/>
        <v>0</v>
      </c>
      <c r="T32" s="1"/>
      <c r="U32" s="1"/>
      <c r="V32" s="81" t="s">
        <v>192</v>
      </c>
      <c r="W32" s="73">
        <f t="shared" si="16"/>
        <v>0</v>
      </c>
      <c r="X32" s="71">
        <f t="shared" si="17"/>
        <v>0</v>
      </c>
      <c r="Y32" s="71">
        <f t="shared" si="18"/>
        <v>0</v>
      </c>
      <c r="Z32" s="90">
        <f t="shared" si="19"/>
        <v>0</v>
      </c>
      <c r="AA32" s="25"/>
      <c r="AB32" s="25"/>
      <c r="AC32" s="25"/>
      <c r="AD32" s="1"/>
      <c r="AE32" s="1"/>
      <c r="AF32" s="1"/>
      <c r="AG32" s="1"/>
      <c r="AH32" s="1"/>
      <c r="AI32" s="1"/>
      <c r="AJ32" s="1"/>
      <c r="AK32" s="1"/>
      <c r="AL32" s="1"/>
      <c r="AM32" s="1"/>
      <c r="AN32" s="1"/>
      <c r="AO32" s="1"/>
      <c r="AP32" s="1"/>
      <c r="AQ32" s="1"/>
      <c r="AR32" s="1"/>
      <c r="AS32" s="1"/>
      <c r="AT32" s="1"/>
      <c r="AU32" s="1"/>
      <c r="AV32" s="1"/>
      <c r="AW32" s="1"/>
      <c r="AX32" s="68"/>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row>
    <row r="33" spans="1:101" ht="19.5" thickBot="1">
      <c r="A33" s="1"/>
      <c r="B33" s="831" t="s">
        <v>168</v>
      </c>
      <c r="C33" s="832"/>
      <c r="D33" s="832"/>
      <c r="E33" s="846"/>
      <c r="F33" s="1"/>
      <c r="G33" s="1"/>
      <c r="H33" s="11" t="s">
        <v>172</v>
      </c>
      <c r="I33" s="862"/>
      <c r="J33" s="847"/>
      <c r="K33" s="863"/>
      <c r="L33" s="1"/>
      <c r="M33" s="1"/>
      <c r="N33" s="63"/>
      <c r="O33" s="81" t="s">
        <v>193</v>
      </c>
      <c r="P33" s="73">
        <f t="shared" si="12"/>
        <v>0</v>
      </c>
      <c r="Q33" s="71">
        <f t="shared" si="13"/>
        <v>0</v>
      </c>
      <c r="R33" s="71">
        <f t="shared" si="14"/>
        <v>0</v>
      </c>
      <c r="S33" s="90">
        <f t="shared" si="15"/>
        <v>0</v>
      </c>
      <c r="T33" s="1"/>
      <c r="U33" s="1"/>
      <c r="V33" s="81" t="s">
        <v>193</v>
      </c>
      <c r="W33" s="73">
        <f t="shared" si="16"/>
        <v>0</v>
      </c>
      <c r="X33" s="71">
        <f t="shared" si="17"/>
        <v>0</v>
      </c>
      <c r="Y33" s="71">
        <f t="shared" si="18"/>
        <v>0</v>
      </c>
      <c r="Z33" s="90">
        <f t="shared" si="19"/>
        <v>0</v>
      </c>
      <c r="AA33" s="25"/>
      <c r="AB33" s="25"/>
      <c r="AC33" s="25"/>
      <c r="AD33" s="1"/>
      <c r="AE33" s="1"/>
      <c r="AF33" s="1"/>
      <c r="AG33" s="1"/>
      <c r="AH33" s="1"/>
      <c r="AI33" s="1"/>
      <c r="AJ33" s="1"/>
      <c r="AK33" s="1"/>
      <c r="AL33" s="1"/>
      <c r="AM33" s="1"/>
      <c r="AN33" s="1"/>
      <c r="AO33" s="1"/>
      <c r="AP33" s="1"/>
      <c r="AQ33" s="1"/>
      <c r="AR33" s="1"/>
      <c r="AS33" s="1"/>
      <c r="AT33" s="1"/>
      <c r="AU33" s="1"/>
      <c r="AV33" s="1"/>
      <c r="AW33" s="1"/>
      <c r="AX33" s="68"/>
      <c r="AY33" s="142"/>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row>
    <row r="34" spans="1:101" ht="15.75" thickBot="1">
      <c r="A34" s="1"/>
      <c r="B34" s="19"/>
      <c r="C34" s="12" t="s">
        <v>158</v>
      </c>
      <c r="D34" s="12" t="s">
        <v>169</v>
      </c>
      <c r="E34" s="20" t="s">
        <v>159</v>
      </c>
      <c r="F34" s="1"/>
      <c r="G34" s="1"/>
      <c r="H34" s="11" t="s">
        <v>173</v>
      </c>
      <c r="I34" s="862">
        <f>K22</f>
        <v>206</v>
      </c>
      <c r="J34" s="847"/>
      <c r="K34" s="863"/>
      <c r="L34" s="1"/>
      <c r="M34" s="1"/>
      <c r="N34" s="85"/>
      <c r="O34" s="394" t="s">
        <v>194</v>
      </c>
      <c r="P34" s="73">
        <f t="shared" ca="1" si="12"/>
        <v>0.05</v>
      </c>
      <c r="Q34" s="71">
        <f t="shared" ca="1" si="13"/>
        <v>0.04</v>
      </c>
      <c r="R34" s="71">
        <f t="shared" ca="1" si="14"/>
        <v>0.25</v>
      </c>
      <c r="S34" s="90">
        <f t="shared" ca="1" si="15"/>
        <v>0.2</v>
      </c>
      <c r="T34" s="1"/>
      <c r="U34" s="1"/>
      <c r="V34" s="82" t="s">
        <v>194</v>
      </c>
      <c r="W34" s="73">
        <f t="shared" si="16"/>
        <v>0</v>
      </c>
      <c r="X34" s="71">
        <f t="shared" si="17"/>
        <v>0</v>
      </c>
      <c r="Y34" s="71">
        <f t="shared" si="18"/>
        <v>0</v>
      </c>
      <c r="Z34" s="90">
        <f t="shared" si="19"/>
        <v>0</v>
      </c>
      <c r="AA34" s="25"/>
      <c r="AB34" s="25"/>
      <c r="AC34" s="25"/>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row>
    <row r="35" spans="1:101" ht="15.75" thickBot="1">
      <c r="A35" s="1"/>
      <c r="B35" s="14"/>
      <c r="C35" s="44">
        <f>Input!G12/C71*2</f>
        <v>2.7777777777777777</v>
      </c>
      <c r="D35" s="77">
        <f>Input!G12*2</f>
        <v>200</v>
      </c>
      <c r="E35" s="75">
        <f>(D35*C70)+(C35*C67)</f>
        <v>171.33333333333331</v>
      </c>
      <c r="F35" s="1"/>
      <c r="G35" s="1"/>
      <c r="H35" s="14" t="s">
        <v>174</v>
      </c>
      <c r="I35" s="836"/>
      <c r="J35" s="836"/>
      <c r="K35" s="837"/>
      <c r="L35" s="1"/>
      <c r="M35" s="1"/>
      <c r="N35" s="1"/>
      <c r="T35" s="1"/>
      <c r="U35" s="1"/>
      <c r="V35" s="15" t="s">
        <v>475</v>
      </c>
      <c r="W35" s="59">
        <f>SUM(W29:W34)</f>
        <v>0</v>
      </c>
      <c r="X35" s="59">
        <f>SUM(X29:X34)</f>
        <v>0</v>
      </c>
      <c r="Y35" s="59">
        <f>SUM(Y29:Y34)</f>
        <v>0</v>
      </c>
      <c r="Z35" s="55">
        <f>SUM(Z29:Z34)</f>
        <v>0</v>
      </c>
      <c r="AA35" s="25"/>
      <c r="AB35" s="25"/>
      <c r="AC35" s="25"/>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row>
    <row r="36" spans="1:101" ht="15.75" thickBot="1">
      <c r="A36" s="1"/>
      <c r="B36" s="15" t="s">
        <v>456</v>
      </c>
      <c r="C36" s="49">
        <f ca="1">Input!G12*((D15/C75)*2)/C71</f>
        <v>16.111111111111111</v>
      </c>
      <c r="D36" s="50">
        <f ca="1">Input!G12*((D15/C75)*2)</f>
        <v>1160</v>
      </c>
      <c r="E36" s="51">
        <f ca="1">(C36*C67)+(D36*C70)</f>
        <v>993.73333333333335</v>
      </c>
      <c r="F36" s="1"/>
      <c r="G36" s="1"/>
      <c r="H36" s="15" t="s">
        <v>163</v>
      </c>
      <c r="I36" s="859">
        <f>SUM(I32:K35)</f>
        <v>237</v>
      </c>
      <c r="J36" s="860"/>
      <c r="K36" s="861"/>
      <c r="L36" s="1"/>
      <c r="M36" s="1"/>
      <c r="N36" s="1"/>
      <c r="O36" s="15" t="s">
        <v>475</v>
      </c>
      <c r="P36" s="59">
        <f ca="1">SUM(P29:P34)</f>
        <v>0.33999999999999997</v>
      </c>
      <c r="Q36" s="59">
        <f ca="1">SUM(Q29:Q34)</f>
        <v>0.24000000000000002</v>
      </c>
      <c r="R36" s="59">
        <f ca="1">SUM(R29:R34)</f>
        <v>1.7</v>
      </c>
      <c r="S36" s="55">
        <f ca="1">SUM(S29:S34)</f>
        <v>1.2</v>
      </c>
      <c r="T36" s="1"/>
      <c r="U36" s="1"/>
      <c r="V36" s="1"/>
      <c r="W36" s="1"/>
      <c r="X36" s="1"/>
      <c r="Y36" s="1"/>
      <c r="Z36" s="1"/>
      <c r="AA36" s="25"/>
      <c r="AB36" s="25"/>
      <c r="AC36" s="25"/>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row>
    <row r="37" spans="1:101" ht="19.5" thickBot="1">
      <c r="A37" s="1"/>
      <c r="B37" s="25" t="s">
        <v>454</v>
      </c>
      <c r="C37" s="25"/>
      <c r="D37" s="25"/>
      <c r="E37" s="25"/>
      <c r="F37" s="1"/>
      <c r="G37" s="1"/>
      <c r="H37" s="1"/>
      <c r="I37" s="1"/>
      <c r="J37" s="1"/>
      <c r="K37" s="1"/>
      <c r="L37" s="1"/>
      <c r="M37" s="1"/>
      <c r="N37" s="1"/>
      <c r="O37" s="831" t="s">
        <v>483</v>
      </c>
      <c r="P37" s="832"/>
      <c r="Q37" s="832"/>
      <c r="R37" s="832"/>
      <c r="S37" s="832"/>
      <c r="T37" s="1"/>
      <c r="U37" s="1"/>
      <c r="V37" s="831" t="s">
        <v>499</v>
      </c>
      <c r="W37" s="832"/>
      <c r="X37" s="832"/>
      <c r="Y37" s="832"/>
      <c r="Z37" s="832"/>
      <c r="AA37" s="25"/>
      <c r="AB37" s="25"/>
      <c r="AC37" s="25"/>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row>
    <row r="38" spans="1:101">
      <c r="A38" s="1"/>
      <c r="B38" s="25" t="s">
        <v>454</v>
      </c>
      <c r="C38" s="25"/>
      <c r="D38" s="25"/>
      <c r="E38" s="25"/>
      <c r="F38" s="1"/>
      <c r="G38" s="1"/>
      <c r="H38" s="1"/>
      <c r="I38" s="1"/>
      <c r="J38" s="1"/>
      <c r="K38" s="1"/>
      <c r="L38" s="1"/>
      <c r="M38" s="1"/>
      <c r="N38" s="1"/>
      <c r="O38" s="5"/>
      <c r="P38" s="6" t="s">
        <v>473</v>
      </c>
      <c r="Q38" s="53" t="s">
        <v>473</v>
      </c>
      <c r="R38" s="53" t="s">
        <v>474</v>
      </c>
      <c r="S38" s="7" t="s">
        <v>474</v>
      </c>
      <c r="T38" s="1"/>
      <c r="U38" s="1"/>
      <c r="V38" s="5"/>
      <c r="W38" s="6" t="s">
        <v>473</v>
      </c>
      <c r="X38" s="104" t="s">
        <v>473</v>
      </c>
      <c r="Y38" s="104" t="s">
        <v>474</v>
      </c>
      <c r="Z38" s="7" t="s">
        <v>474</v>
      </c>
      <c r="AA38" s="25"/>
      <c r="AB38" s="25"/>
      <c r="AC38" s="25"/>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row>
    <row r="39" spans="1:101" ht="19.5" thickBot="1">
      <c r="A39" s="1"/>
      <c r="B39" s="831" t="s">
        <v>174</v>
      </c>
      <c r="C39" s="832"/>
      <c r="D39" s="832"/>
      <c r="E39" s="846"/>
      <c r="F39" s="1"/>
      <c r="G39" s="1"/>
      <c r="H39" s="1"/>
      <c r="I39" s="1"/>
      <c r="J39" s="1"/>
      <c r="K39" s="1"/>
      <c r="L39" s="1"/>
      <c r="M39" s="1"/>
      <c r="N39" s="1"/>
      <c r="O39" s="22"/>
      <c r="P39" s="13" t="s">
        <v>459</v>
      </c>
      <c r="Q39" s="18" t="s">
        <v>458</v>
      </c>
      <c r="R39" s="18" t="s">
        <v>459</v>
      </c>
      <c r="S39" s="10" t="s">
        <v>458</v>
      </c>
      <c r="T39" s="1"/>
      <c r="U39" s="1"/>
      <c r="V39" s="22"/>
      <c r="W39" s="13" t="s">
        <v>458</v>
      </c>
      <c r="X39" s="18" t="s">
        <v>458</v>
      </c>
      <c r="Y39" s="18" t="s">
        <v>459</v>
      </c>
      <c r="Z39" s="10" t="s">
        <v>458</v>
      </c>
      <c r="AA39" s="25"/>
      <c r="AB39" s="25"/>
      <c r="AC39" s="25"/>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row>
    <row r="40" spans="1:101">
      <c r="A40" s="1"/>
      <c r="B40" s="24"/>
      <c r="C40" s="12"/>
      <c r="D40" s="12"/>
      <c r="E40" s="20"/>
      <c r="F40" s="1"/>
      <c r="G40" s="1"/>
      <c r="H40" s="1"/>
      <c r="I40" s="1"/>
      <c r="J40" s="1"/>
      <c r="K40" s="1"/>
      <c r="L40" s="1"/>
      <c r="M40" s="1"/>
      <c r="N40" s="1"/>
      <c r="O40" s="81" t="s">
        <v>180</v>
      </c>
      <c r="P40" s="73">
        <f t="shared" ref="P40:P45" ca="1" si="20">T7*Q7/$C$75</f>
        <v>1.1400000000000001</v>
      </c>
      <c r="Q40" s="71">
        <f t="shared" ref="Q40:Q45" ca="1" si="21">T7*R7/$C$75</f>
        <v>0.72</v>
      </c>
      <c r="R40" s="71">
        <f t="shared" ref="R40:R45" ca="1" si="22">T7*Q7*$C$67</f>
        <v>171</v>
      </c>
      <c r="S40" s="90">
        <f t="shared" ref="S40:S45" ca="1" si="23">T7*R7*$C$67</f>
        <v>107.99999999999999</v>
      </c>
      <c r="T40" s="1"/>
      <c r="U40" s="1"/>
      <c r="V40" s="81" t="s">
        <v>180</v>
      </c>
      <c r="W40" s="73">
        <f t="shared" ref="W40:W45" si="24">T7*W7/$C$75</f>
        <v>0</v>
      </c>
      <c r="X40" s="71">
        <f t="shared" ref="X40:X45" si="25">AA7*Y7/$C$75</f>
        <v>0</v>
      </c>
      <c r="Y40" s="71">
        <f t="shared" ref="Y40:Y45" si="26">T7*$C$67*W7</f>
        <v>0</v>
      </c>
      <c r="Z40" s="90">
        <f t="shared" ref="Z40:Z45" si="27">AA7*Y7</f>
        <v>0</v>
      </c>
      <c r="AA40" s="25"/>
      <c r="AB40" s="25"/>
      <c r="AC40" s="25"/>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row>
    <row r="41" spans="1:101" ht="15.75" thickBot="1">
      <c r="A41" s="1"/>
      <c r="B41" s="14"/>
      <c r="C41" s="17"/>
      <c r="D41" s="17"/>
      <c r="E41" s="21"/>
      <c r="F41" s="1"/>
      <c r="G41" s="1"/>
      <c r="H41" s="1"/>
      <c r="I41" s="1"/>
      <c r="J41" s="1"/>
      <c r="K41" s="1"/>
      <c r="L41" s="1"/>
      <c r="M41" s="1"/>
      <c r="N41" s="1"/>
      <c r="O41" s="81" t="s">
        <v>181</v>
      </c>
      <c r="P41" s="73">
        <f t="shared" ca="1" si="20"/>
        <v>0.3</v>
      </c>
      <c r="Q41" s="71">
        <f t="shared" ca="1" si="21"/>
        <v>0.24</v>
      </c>
      <c r="R41" s="71">
        <f t="shared" ca="1" si="22"/>
        <v>45</v>
      </c>
      <c r="S41" s="90">
        <f t="shared" ca="1" si="23"/>
        <v>36</v>
      </c>
      <c r="T41" s="1"/>
      <c r="U41" s="1"/>
      <c r="V41" s="81" t="s">
        <v>181</v>
      </c>
      <c r="W41" s="73">
        <f t="shared" si="24"/>
        <v>0</v>
      </c>
      <c r="X41" s="71">
        <f t="shared" si="25"/>
        <v>0</v>
      </c>
      <c r="Y41" s="71">
        <f t="shared" si="26"/>
        <v>0</v>
      </c>
      <c r="Z41" s="90">
        <f t="shared" si="27"/>
        <v>0</v>
      </c>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row>
    <row r="42" spans="1:101">
      <c r="A42" s="1"/>
      <c r="B42" s="25"/>
      <c r="C42" s="25"/>
      <c r="D42" s="25"/>
      <c r="E42" s="25"/>
      <c r="F42" s="1"/>
      <c r="G42" s="1"/>
      <c r="H42" s="556" t="s">
        <v>773</v>
      </c>
      <c r="I42" s="556"/>
      <c r="J42" s="556"/>
      <c r="K42" s="1"/>
      <c r="L42" s="1"/>
      <c r="M42" s="1"/>
      <c r="N42" s="1"/>
      <c r="O42" s="81" t="s">
        <v>182</v>
      </c>
      <c r="P42" s="73">
        <f t="shared" ca="1" si="20"/>
        <v>0.3</v>
      </c>
      <c r="Q42" s="71">
        <f t="shared" ca="1" si="21"/>
        <v>0.24</v>
      </c>
      <c r="R42" s="71">
        <f t="shared" ca="1" si="22"/>
        <v>45</v>
      </c>
      <c r="S42" s="90">
        <f t="shared" ca="1" si="23"/>
        <v>36</v>
      </c>
      <c r="T42" s="1"/>
      <c r="U42" s="1"/>
      <c r="V42" s="81" t="s">
        <v>182</v>
      </c>
      <c r="W42" s="73">
        <f t="shared" si="24"/>
        <v>0</v>
      </c>
      <c r="X42" s="71">
        <f t="shared" si="25"/>
        <v>0</v>
      </c>
      <c r="Y42" s="71">
        <f t="shared" si="26"/>
        <v>0</v>
      </c>
      <c r="Z42" s="90">
        <f t="shared" si="27"/>
        <v>0</v>
      </c>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row>
    <row r="43" spans="1:101">
      <c r="A43" s="1"/>
      <c r="B43" s="1"/>
      <c r="C43" s="1"/>
      <c r="D43" s="1"/>
      <c r="E43" s="1"/>
      <c r="F43" s="1"/>
      <c r="G43" s="1"/>
      <c r="H43" s="556" t="s">
        <v>158</v>
      </c>
      <c r="I43" s="843">
        <f>I6</f>
        <v>1</v>
      </c>
      <c r="J43" s="844"/>
      <c r="K43" s="1"/>
      <c r="L43" s="1"/>
      <c r="M43" s="1"/>
      <c r="N43" s="1"/>
      <c r="O43" s="81" t="s">
        <v>192</v>
      </c>
      <c r="P43" s="73">
        <f t="shared" si="20"/>
        <v>0</v>
      </c>
      <c r="Q43" s="71">
        <f t="shared" si="21"/>
        <v>0</v>
      </c>
      <c r="R43" s="71">
        <f t="shared" si="22"/>
        <v>0</v>
      </c>
      <c r="S43" s="90">
        <f t="shared" si="23"/>
        <v>0</v>
      </c>
      <c r="T43" s="1"/>
      <c r="U43" s="1"/>
      <c r="V43" s="81" t="s">
        <v>192</v>
      </c>
      <c r="W43" s="73">
        <f t="shared" si="24"/>
        <v>0</v>
      </c>
      <c r="X43" s="71">
        <f t="shared" si="25"/>
        <v>0</v>
      </c>
      <c r="Y43" s="71">
        <f t="shared" si="26"/>
        <v>0</v>
      </c>
      <c r="Z43" s="90">
        <f t="shared" si="27"/>
        <v>0</v>
      </c>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row>
    <row r="44" spans="1:101" ht="19.5" thickBot="1">
      <c r="A44" s="1"/>
      <c r="B44" s="845" t="s">
        <v>170</v>
      </c>
      <c r="C44" s="832"/>
      <c r="D44" s="832"/>
      <c r="E44" s="832"/>
      <c r="F44" s="1"/>
      <c r="G44" s="1"/>
      <c r="H44" s="557" t="s">
        <v>774</v>
      </c>
      <c r="I44" s="851">
        <f>I43*C67</f>
        <v>30</v>
      </c>
      <c r="J44" s="852"/>
      <c r="K44" s="1"/>
      <c r="L44" s="1"/>
      <c r="M44" s="1"/>
      <c r="N44" s="1"/>
      <c r="O44" s="81" t="s">
        <v>193</v>
      </c>
      <c r="P44" s="73">
        <f t="shared" si="20"/>
        <v>0</v>
      </c>
      <c r="Q44" s="71">
        <f t="shared" si="21"/>
        <v>0</v>
      </c>
      <c r="R44" s="71">
        <f t="shared" si="22"/>
        <v>0</v>
      </c>
      <c r="S44" s="90">
        <f t="shared" si="23"/>
        <v>0</v>
      </c>
      <c r="T44" s="1"/>
      <c r="U44" s="1"/>
      <c r="V44" s="81" t="s">
        <v>193</v>
      </c>
      <c r="W44" s="73">
        <f t="shared" si="24"/>
        <v>0</v>
      </c>
      <c r="X44" s="71">
        <f t="shared" si="25"/>
        <v>0</v>
      </c>
      <c r="Y44" s="71">
        <f t="shared" si="26"/>
        <v>0</v>
      </c>
      <c r="Z44" s="90">
        <f t="shared" si="27"/>
        <v>0</v>
      </c>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row>
    <row r="45" spans="1:101" ht="15.75" thickBot="1">
      <c r="A45" s="1"/>
      <c r="B45" s="22"/>
      <c r="C45" s="855" t="s">
        <v>159</v>
      </c>
      <c r="D45" s="855"/>
      <c r="E45" s="856"/>
      <c r="F45" s="1"/>
      <c r="G45" s="1"/>
      <c r="H45" s="558"/>
      <c r="I45" s="558"/>
      <c r="J45" s="558"/>
      <c r="K45" s="1"/>
      <c r="L45" s="1"/>
      <c r="M45" s="1"/>
      <c r="N45" s="1"/>
      <c r="O45" s="82" t="s">
        <v>194</v>
      </c>
      <c r="P45" s="73">
        <f t="shared" ca="1" si="20"/>
        <v>0.3</v>
      </c>
      <c r="Q45" s="71">
        <f t="shared" ca="1" si="21"/>
        <v>0.24</v>
      </c>
      <c r="R45" s="71">
        <f t="shared" ca="1" si="22"/>
        <v>45</v>
      </c>
      <c r="S45" s="90">
        <f t="shared" ca="1" si="23"/>
        <v>36</v>
      </c>
      <c r="T45" s="1"/>
      <c r="U45" s="1"/>
      <c r="V45" s="82" t="s">
        <v>194</v>
      </c>
      <c r="W45" s="73">
        <f t="shared" si="24"/>
        <v>0</v>
      </c>
      <c r="X45" s="71">
        <f t="shared" si="25"/>
        <v>0</v>
      </c>
      <c r="Y45" s="71">
        <f t="shared" si="26"/>
        <v>0</v>
      </c>
      <c r="Z45" s="90">
        <f t="shared" si="27"/>
        <v>0</v>
      </c>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row>
    <row r="46" spans="1:101" ht="15.75" thickBot="1">
      <c r="A46" s="1"/>
      <c r="B46" s="11" t="s">
        <v>171</v>
      </c>
      <c r="C46" s="864">
        <f ca="1">E15+E30</f>
        <v>179.8</v>
      </c>
      <c r="D46" s="865"/>
      <c r="E46" s="866"/>
      <c r="F46" s="1"/>
      <c r="G46" s="1"/>
      <c r="H46" s="1"/>
      <c r="I46" s="1"/>
      <c r="J46" s="1"/>
      <c r="K46" s="1"/>
      <c r="L46" s="1"/>
      <c r="M46" s="1"/>
      <c r="N46" s="1"/>
      <c r="O46" s="15" t="s">
        <v>475</v>
      </c>
      <c r="P46" s="59">
        <f ca="1">SUM(P40:P45)</f>
        <v>2.04</v>
      </c>
      <c r="Q46" s="59">
        <f ca="1">SUM(Q40:Q45)</f>
        <v>1.44</v>
      </c>
      <c r="R46" s="59">
        <f ca="1">SUM(R40:R45)</f>
        <v>306</v>
      </c>
      <c r="S46" s="55">
        <f ca="1">SUM(S40:S45)</f>
        <v>216</v>
      </c>
      <c r="T46" s="1"/>
      <c r="U46" s="1"/>
      <c r="V46" s="15" t="s">
        <v>475</v>
      </c>
      <c r="W46" s="59">
        <f>SUM(W40:W45)</f>
        <v>0</v>
      </c>
      <c r="X46" s="59">
        <f>SUM(X40:X45)</f>
        <v>0</v>
      </c>
      <c r="Y46" s="59">
        <f>SUM(Y40:Y45)</f>
        <v>0</v>
      </c>
      <c r="Z46" s="55">
        <f>SUM(Z40:Z45)</f>
        <v>0</v>
      </c>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row>
    <row r="47" spans="1:101">
      <c r="A47" s="1"/>
      <c r="B47" s="11" t="s">
        <v>172</v>
      </c>
      <c r="C47" s="864"/>
      <c r="D47" s="865"/>
      <c r="E47" s="866"/>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row>
    <row r="48" spans="1:101">
      <c r="A48" s="1"/>
      <c r="B48" s="11" t="s">
        <v>173</v>
      </c>
      <c r="C48" s="864">
        <f ca="1">E36</f>
        <v>993.73333333333335</v>
      </c>
      <c r="D48" s="865"/>
      <c r="E48" s="866"/>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row>
    <row r="49" spans="1:101" ht="19.5" thickBot="1">
      <c r="A49" s="1"/>
      <c r="B49" s="14" t="s">
        <v>174</v>
      </c>
      <c r="C49" s="857"/>
      <c r="D49" s="857"/>
      <c r="E49" s="858"/>
      <c r="F49" s="1"/>
      <c r="G49" s="1"/>
      <c r="H49" s="1"/>
      <c r="I49" s="1"/>
      <c r="J49" s="1"/>
      <c r="K49" s="1"/>
      <c r="L49" s="1"/>
      <c r="M49" s="1"/>
      <c r="N49" s="1"/>
      <c r="O49" s="831" t="s">
        <v>484</v>
      </c>
      <c r="P49" s="832"/>
      <c r="Q49" s="832"/>
      <c r="R49" s="832"/>
      <c r="S49" s="832"/>
      <c r="T49" s="1"/>
      <c r="U49" s="1"/>
      <c r="V49" s="831" t="s">
        <v>500</v>
      </c>
      <c r="W49" s="832"/>
      <c r="X49" s="832"/>
      <c r="Y49" s="832"/>
      <c r="Z49" s="832"/>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row>
    <row r="50" spans="1:101" ht="15.75" thickBot="1">
      <c r="A50" s="1"/>
      <c r="B50" s="15" t="s">
        <v>163</v>
      </c>
      <c r="C50" s="859">
        <f ca="1">SUM(C46:E49)</f>
        <v>1173.5333333333333</v>
      </c>
      <c r="D50" s="860"/>
      <c r="E50" s="861"/>
      <c r="F50" s="1"/>
      <c r="G50" s="1"/>
      <c r="H50" s="1"/>
      <c r="I50" s="1"/>
      <c r="J50" s="1"/>
      <c r="K50" s="1"/>
      <c r="L50" s="1"/>
      <c r="M50" s="1"/>
      <c r="N50" s="1"/>
      <c r="O50" s="5"/>
      <c r="P50" s="6" t="s">
        <v>473</v>
      </c>
      <c r="Q50" s="53" t="s">
        <v>473</v>
      </c>
      <c r="R50" s="53" t="s">
        <v>474</v>
      </c>
      <c r="S50" s="7" t="s">
        <v>474</v>
      </c>
      <c r="T50" s="1"/>
      <c r="U50" s="1"/>
      <c r="V50" s="5"/>
      <c r="W50" s="6" t="s">
        <v>473</v>
      </c>
      <c r="X50" s="104" t="s">
        <v>473</v>
      </c>
      <c r="Y50" s="104" t="s">
        <v>474</v>
      </c>
      <c r="Z50" s="7" t="s">
        <v>474</v>
      </c>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row>
    <row r="51" spans="1:101">
      <c r="A51" s="1"/>
      <c r="B51" s="1"/>
      <c r="C51" s="1"/>
      <c r="D51" s="1"/>
      <c r="E51" s="1"/>
      <c r="F51" s="1"/>
      <c r="G51" s="1"/>
      <c r="H51" s="1"/>
      <c r="I51" s="1"/>
      <c r="J51" s="1"/>
      <c r="K51" s="1"/>
      <c r="L51" s="1"/>
      <c r="M51" s="1"/>
      <c r="N51" s="1"/>
      <c r="O51" s="22"/>
      <c r="P51" s="13" t="s">
        <v>459</v>
      </c>
      <c r="Q51" s="18" t="s">
        <v>458</v>
      </c>
      <c r="R51" s="18" t="s">
        <v>459</v>
      </c>
      <c r="S51" s="10" t="s">
        <v>458</v>
      </c>
      <c r="T51" s="1"/>
      <c r="U51" s="1"/>
      <c r="V51" s="22"/>
      <c r="W51" s="13" t="s">
        <v>458</v>
      </c>
      <c r="X51" s="18" t="s">
        <v>711</v>
      </c>
      <c r="Y51" s="18" t="s">
        <v>459</v>
      </c>
      <c r="Z51" s="10" t="s">
        <v>458</v>
      </c>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row>
    <row r="52" spans="1:101">
      <c r="A52" s="1"/>
      <c r="B52" s="1"/>
      <c r="C52" s="1"/>
      <c r="D52" s="1"/>
      <c r="E52" s="1"/>
      <c r="F52" s="1"/>
      <c r="G52" s="1"/>
      <c r="H52" s="1"/>
      <c r="I52" s="1"/>
      <c r="J52" s="1"/>
      <c r="K52" s="1"/>
      <c r="L52" s="1"/>
      <c r="M52" s="1"/>
      <c r="N52" s="1"/>
      <c r="O52" s="81" t="s">
        <v>180</v>
      </c>
      <c r="P52" s="101">
        <f ca="1">P18+P29+P40</f>
        <v>3732.93</v>
      </c>
      <c r="Q52" s="102">
        <f ca="1">Q18+Q29+Q40</f>
        <v>2357.64</v>
      </c>
      <c r="R52" s="102">
        <f ca="1">R18+R29+R40</f>
        <v>18829.95</v>
      </c>
      <c r="S52" s="103">
        <f ca="1">S18+S29+S40</f>
        <v>11892.6</v>
      </c>
      <c r="T52" s="1"/>
      <c r="U52" s="1"/>
      <c r="V52" s="81" t="s">
        <v>180</v>
      </c>
      <c r="W52" s="101">
        <f>W18+W29+W40</f>
        <v>0</v>
      </c>
      <c r="X52" s="105">
        <f t="shared" ref="W52:Z57" si="28">X18+X29+X40</f>
        <v>0</v>
      </c>
      <c r="Y52" s="105">
        <f t="shared" si="28"/>
        <v>0</v>
      </c>
      <c r="Z52" s="103">
        <f t="shared" si="28"/>
        <v>0</v>
      </c>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row>
    <row r="53" spans="1:101">
      <c r="A53" s="1"/>
      <c r="B53" s="1"/>
      <c r="C53" s="1"/>
      <c r="D53" s="1"/>
      <c r="E53" s="1"/>
      <c r="F53" s="1"/>
      <c r="G53" s="1"/>
      <c r="H53" s="1"/>
      <c r="I53" s="1"/>
      <c r="J53" s="1"/>
      <c r="K53" s="1"/>
      <c r="L53" s="1"/>
      <c r="M53" s="1"/>
      <c r="N53" s="1"/>
      <c r="O53" s="81" t="s">
        <v>181</v>
      </c>
      <c r="P53" s="101">
        <f t="shared" ref="P53:S57" ca="1" si="29">P19+P30+P41</f>
        <v>1192.3499999999999</v>
      </c>
      <c r="Q53" s="102">
        <f t="shared" ca="1" si="29"/>
        <v>953.88</v>
      </c>
      <c r="R53" s="102">
        <f t="shared" ca="1" si="29"/>
        <v>6005.25</v>
      </c>
      <c r="S53" s="103">
        <f ca="1">S19+S30+S41</f>
        <v>4804.2</v>
      </c>
      <c r="T53" s="1"/>
      <c r="U53" s="1"/>
      <c r="V53" s="81" t="s">
        <v>181</v>
      </c>
      <c r="W53" s="101">
        <f t="shared" si="28"/>
        <v>0</v>
      </c>
      <c r="X53" s="105">
        <f t="shared" si="28"/>
        <v>0</v>
      </c>
      <c r="Y53" s="105">
        <f t="shared" si="28"/>
        <v>0</v>
      </c>
      <c r="Z53" s="103">
        <f t="shared" si="28"/>
        <v>0</v>
      </c>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row>
    <row r="54" spans="1:101">
      <c r="A54" s="1"/>
      <c r="B54" s="1"/>
      <c r="C54" s="1"/>
      <c r="D54" s="1"/>
      <c r="E54" s="1"/>
      <c r="F54" s="1"/>
      <c r="G54" s="1"/>
      <c r="H54" s="1"/>
      <c r="I54" s="1"/>
      <c r="J54" s="1"/>
      <c r="K54" s="1"/>
      <c r="L54" s="1"/>
      <c r="M54" s="1"/>
      <c r="N54" s="1"/>
      <c r="O54" s="81" t="s">
        <v>182</v>
      </c>
      <c r="P54" s="101">
        <f t="shared" ca="1" si="29"/>
        <v>0.36</v>
      </c>
      <c r="Q54" s="102">
        <f t="shared" ca="1" si="29"/>
        <v>0.28799999999999998</v>
      </c>
      <c r="R54" s="102">
        <f t="shared" ca="1" si="29"/>
        <v>45.3</v>
      </c>
      <c r="S54" s="103">
        <f t="shared" ca="1" si="29"/>
        <v>36.24</v>
      </c>
      <c r="T54" s="1"/>
      <c r="U54" s="1"/>
      <c r="V54" s="81" t="s">
        <v>182</v>
      </c>
      <c r="W54" s="101">
        <f t="shared" si="28"/>
        <v>0</v>
      </c>
      <c r="X54" s="105">
        <f t="shared" si="28"/>
        <v>0</v>
      </c>
      <c r="Y54" s="105">
        <f t="shared" si="28"/>
        <v>0</v>
      </c>
      <c r="Z54" s="103">
        <f t="shared" si="28"/>
        <v>0</v>
      </c>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row>
    <row r="55" spans="1:101">
      <c r="A55" s="1"/>
      <c r="B55" s="1"/>
      <c r="C55" s="1"/>
      <c r="D55" s="1"/>
      <c r="E55" s="1"/>
      <c r="F55" s="1"/>
      <c r="G55" s="1"/>
      <c r="H55" s="1"/>
      <c r="I55" s="1"/>
      <c r="J55" s="1"/>
      <c r="K55" s="1"/>
      <c r="L55" s="1"/>
      <c r="M55" s="1"/>
      <c r="N55" s="1"/>
      <c r="O55" s="81" t="s">
        <v>192</v>
      </c>
      <c r="P55" s="101">
        <f t="shared" si="29"/>
        <v>0</v>
      </c>
      <c r="Q55" s="102">
        <f t="shared" si="29"/>
        <v>0</v>
      </c>
      <c r="R55" s="102">
        <f t="shared" si="29"/>
        <v>0</v>
      </c>
      <c r="S55" s="103">
        <f t="shared" si="29"/>
        <v>0</v>
      </c>
      <c r="T55" s="1"/>
      <c r="U55" s="1"/>
      <c r="V55" s="81" t="s">
        <v>192</v>
      </c>
      <c r="W55" s="101">
        <f t="shared" si="28"/>
        <v>0</v>
      </c>
      <c r="X55" s="105">
        <f t="shared" si="28"/>
        <v>0</v>
      </c>
      <c r="Y55" s="105">
        <f t="shared" si="28"/>
        <v>0</v>
      </c>
      <c r="Z55" s="103">
        <f t="shared" si="28"/>
        <v>0</v>
      </c>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row>
    <row r="56" spans="1:101">
      <c r="A56" s="1"/>
      <c r="B56" s="1"/>
      <c r="C56" s="1"/>
      <c r="D56" s="1"/>
      <c r="E56" s="1"/>
      <c r="F56" s="1"/>
      <c r="G56" s="1"/>
      <c r="H56" s="1"/>
      <c r="I56" s="1"/>
      <c r="J56" s="1"/>
      <c r="K56" s="1"/>
      <c r="L56" s="1"/>
      <c r="M56" s="1"/>
      <c r="N56" s="1"/>
      <c r="O56" s="81" t="s">
        <v>193</v>
      </c>
      <c r="P56" s="101">
        <f t="shared" si="29"/>
        <v>0</v>
      </c>
      <c r="Q56" s="102">
        <f t="shared" si="29"/>
        <v>0</v>
      </c>
      <c r="R56" s="102">
        <f t="shared" si="29"/>
        <v>0</v>
      </c>
      <c r="S56" s="103">
        <f t="shared" si="29"/>
        <v>0</v>
      </c>
      <c r="T56" s="1"/>
      <c r="U56" s="1"/>
      <c r="V56" s="81" t="s">
        <v>193</v>
      </c>
      <c r="W56" s="101">
        <f t="shared" si="28"/>
        <v>0</v>
      </c>
      <c r="X56" s="105">
        <f t="shared" si="28"/>
        <v>0</v>
      </c>
      <c r="Y56" s="105">
        <f t="shared" si="28"/>
        <v>0</v>
      </c>
      <c r="Z56" s="103">
        <f t="shared" si="28"/>
        <v>0</v>
      </c>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row>
    <row r="57" spans="1:101" ht="15.75" thickBot="1">
      <c r="A57" s="1"/>
      <c r="B57" s="1"/>
      <c r="C57" s="1"/>
      <c r="D57" s="1"/>
      <c r="E57" s="1"/>
      <c r="F57" s="1"/>
      <c r="G57" s="1"/>
      <c r="H57" s="1"/>
      <c r="I57" s="1"/>
      <c r="J57" s="1"/>
      <c r="K57" s="1"/>
      <c r="L57" s="1"/>
      <c r="M57" s="1"/>
      <c r="N57" s="1"/>
      <c r="O57" s="393" t="s">
        <v>194</v>
      </c>
      <c r="P57" s="101">
        <f t="shared" ca="1" si="29"/>
        <v>537.34999999999991</v>
      </c>
      <c r="Q57" s="102">
        <f t="shared" ca="1" si="29"/>
        <v>429.88000000000005</v>
      </c>
      <c r="R57" s="102">
        <f t="shared" ca="1" si="29"/>
        <v>2730.25</v>
      </c>
      <c r="S57" s="103">
        <f t="shared" ca="1" si="29"/>
        <v>2184.1999999999998</v>
      </c>
      <c r="T57" s="1"/>
      <c r="U57" s="1"/>
      <c r="V57" s="395" t="s">
        <v>194</v>
      </c>
      <c r="W57" s="101">
        <f t="shared" si="28"/>
        <v>0</v>
      </c>
      <c r="X57" s="105">
        <f t="shared" si="28"/>
        <v>0</v>
      </c>
      <c r="Y57" s="105">
        <f t="shared" si="28"/>
        <v>0</v>
      </c>
      <c r="Z57" s="103">
        <f t="shared" si="28"/>
        <v>0</v>
      </c>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row>
    <row r="58" spans="1:101" ht="15.75" thickBot="1">
      <c r="A58" s="1"/>
      <c r="B58" s="54"/>
      <c r="C58" s="1"/>
      <c r="D58" s="1"/>
      <c r="E58" s="1"/>
      <c r="F58" s="1"/>
      <c r="G58" s="1"/>
      <c r="H58" s="1"/>
      <c r="I58" s="1"/>
      <c r="J58" s="1"/>
      <c r="K58" s="1"/>
      <c r="L58" s="1"/>
      <c r="M58" s="1"/>
      <c r="N58" s="1"/>
      <c r="O58" s="342" t="s">
        <v>715</v>
      </c>
      <c r="Q58" s="347">
        <f>P13/10</f>
        <v>245</v>
      </c>
      <c r="S58" s="346">
        <f>Q58*C75</f>
        <v>1225</v>
      </c>
      <c r="T58" s="1"/>
      <c r="U58" s="1"/>
      <c r="V58" s="342" t="s">
        <v>715</v>
      </c>
      <c r="W58" s="347">
        <f>P13/10+W13*P13/10</f>
        <v>245</v>
      </c>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row>
    <row r="59" spans="1:101" ht="15.75" thickBot="1">
      <c r="A59" s="1"/>
      <c r="B59" s="1"/>
      <c r="C59" s="1"/>
      <c r="D59" s="1"/>
      <c r="E59" s="1"/>
      <c r="F59" s="1"/>
      <c r="G59" s="1"/>
      <c r="H59" s="1"/>
      <c r="I59" s="1"/>
      <c r="J59" s="1"/>
      <c r="K59" s="1"/>
      <c r="L59" s="1"/>
      <c r="M59" s="1"/>
      <c r="N59" s="1"/>
      <c r="O59" s="15" t="s">
        <v>475</v>
      </c>
      <c r="P59" s="59">
        <f ca="1">SUM(P52:P57)</f>
        <v>5462.99</v>
      </c>
      <c r="Q59" s="339">
        <f ca="1">SUM(Q52:Q57)</f>
        <v>3741.6880000000001</v>
      </c>
      <c r="R59" s="59">
        <f ca="1">SUM(R52:R57)</f>
        <v>27610.75</v>
      </c>
      <c r="S59" s="340">
        <f ca="1">(SUM(S52:S57))</f>
        <v>18917.240000000002</v>
      </c>
      <c r="T59" s="1"/>
      <c r="U59" s="1"/>
      <c r="V59" s="15" t="s">
        <v>640</v>
      </c>
      <c r="W59" s="223">
        <f>SUM(W52:W57)</f>
        <v>0</v>
      </c>
      <c r="X59" s="59">
        <f>SUM(X52:X58)</f>
        <v>0</v>
      </c>
      <c r="Y59" s="59">
        <f>SUM(Y52:Y57)</f>
        <v>0</v>
      </c>
      <c r="Z59" s="55">
        <f>SUM(Z52:Z57)</f>
        <v>0</v>
      </c>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row>
    <row r="60" spans="1:101" ht="15.75" thickBot="1">
      <c r="A60" s="1"/>
      <c r="B60" s="253"/>
      <c r="C60" s="253"/>
      <c r="D60" s="320"/>
      <c r="E60" s="320"/>
      <c r="F60" s="1"/>
      <c r="G60" s="1"/>
      <c r="H60" s="1"/>
      <c r="I60" s="1"/>
      <c r="J60" s="1"/>
      <c r="K60" s="1"/>
      <c r="L60" s="1"/>
      <c r="M60" s="1"/>
      <c r="N60" s="1"/>
      <c r="O60" s="15" t="s">
        <v>547</v>
      </c>
      <c r="P60" s="59">
        <f ca="1">P59*50%</f>
        <v>2731.4949999999999</v>
      </c>
      <c r="Q60" s="59">
        <f ca="1">Q59*50%</f>
        <v>1870.8440000000001</v>
      </c>
      <c r="R60" s="59">
        <f ca="1">R59*50%</f>
        <v>13805.375</v>
      </c>
      <c r="S60" s="55">
        <f ca="1">(S59*50%)</f>
        <v>9458.6200000000008</v>
      </c>
      <c r="T60" s="1"/>
      <c r="U60" s="1"/>
      <c r="V60" s="15" t="s">
        <v>547</v>
      </c>
      <c r="W60" s="59">
        <f>W59*50%</f>
        <v>0</v>
      </c>
      <c r="X60" s="59">
        <f>SUM(X53:X59)</f>
        <v>0</v>
      </c>
      <c r="Y60" s="59">
        <f>Y59*50%</f>
        <v>0</v>
      </c>
      <c r="Z60" s="55">
        <f>SUM(Z53:Z59)</f>
        <v>0</v>
      </c>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row>
    <row r="61" spans="1:101" ht="15.75" thickBot="1">
      <c r="A61" s="332"/>
      <c r="B61" s="247"/>
      <c r="C61" s="247"/>
      <c r="D61" s="326"/>
      <c r="E61" s="326"/>
      <c r="F61" s="1"/>
      <c r="G61" s="1"/>
      <c r="H61" s="793"/>
      <c r="I61" s="793"/>
      <c r="J61" s="793"/>
      <c r="K61" s="793"/>
      <c r="L61" s="1"/>
      <c r="M61" s="1"/>
      <c r="N61" s="1"/>
      <c r="O61" s="1"/>
      <c r="P61" s="1"/>
      <c r="Q61" s="247"/>
      <c r="R61" s="247"/>
      <c r="S61" s="247"/>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row>
    <row r="62" spans="1:101">
      <c r="A62" s="1"/>
      <c r="B62" s="1"/>
      <c r="C62" s="1"/>
      <c r="D62" s="1"/>
      <c r="E62" s="1"/>
      <c r="F62" s="1"/>
      <c r="G62" s="1"/>
      <c r="H62" s="1"/>
      <c r="I62" s="1"/>
      <c r="J62" s="1"/>
      <c r="K62" s="1"/>
      <c r="L62" s="1"/>
      <c r="M62" s="1"/>
      <c r="N62" s="1"/>
      <c r="O62" s="249" t="s">
        <v>180</v>
      </c>
      <c r="P62" s="250">
        <f>VLOOKUP(Input!D13,Tabelle256[#All],3)</f>
        <v>9</v>
      </c>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row>
    <row r="63" spans="1:101">
      <c r="A63" s="1"/>
      <c r="B63" s="1"/>
      <c r="C63" s="1"/>
      <c r="D63" s="1"/>
      <c r="E63" s="1"/>
      <c r="F63" s="1"/>
      <c r="G63" s="1"/>
      <c r="H63" s="1"/>
      <c r="I63" s="1"/>
      <c r="J63" s="1"/>
      <c r="K63" s="1"/>
      <c r="L63" s="1"/>
      <c r="M63" s="1"/>
      <c r="N63" s="1"/>
      <c r="O63" s="81" t="s">
        <v>181</v>
      </c>
      <c r="P63" s="251">
        <f>VLOOKUP(Input!D13,Tabelle256[#All],4)</f>
        <v>5</v>
      </c>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row>
    <row r="64" spans="1:101">
      <c r="A64" s="1"/>
      <c r="B64" s="1"/>
      <c r="C64" s="1"/>
      <c r="D64" s="1"/>
      <c r="E64" s="1"/>
      <c r="F64" s="1"/>
      <c r="G64" s="1"/>
      <c r="H64" s="1"/>
      <c r="I64" s="1"/>
      <c r="J64" s="1"/>
      <c r="K64" s="1"/>
      <c r="L64" s="1"/>
      <c r="M64" s="1"/>
      <c r="N64" s="1"/>
      <c r="O64" s="81" t="s">
        <v>182</v>
      </c>
      <c r="P64" s="251">
        <f>VLOOKUP(Input!D13,Tabelle256[#All],5)</f>
        <v>0</v>
      </c>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row>
    <row r="65" spans="1:101">
      <c r="A65" s="1"/>
      <c r="B65" s="1"/>
      <c r="C65" s="1"/>
      <c r="D65" s="1"/>
      <c r="E65" s="1"/>
      <c r="F65" s="1"/>
      <c r="G65" s="1"/>
      <c r="H65" s="1"/>
      <c r="I65" s="1"/>
      <c r="J65" s="1"/>
      <c r="K65" s="1"/>
      <c r="L65" s="1"/>
      <c r="M65" s="1"/>
      <c r="N65" s="1"/>
      <c r="O65" s="81" t="s">
        <v>192</v>
      </c>
      <c r="P65" s="251">
        <f>VLOOKUP(Input!D13,Tabelle256[#All],6)</f>
        <v>4</v>
      </c>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row>
    <row r="66" spans="1:101">
      <c r="A66" s="1"/>
      <c r="B66" s="54" t="s">
        <v>450</v>
      </c>
      <c r="C66" s="1"/>
      <c r="D66" s="1"/>
      <c r="E66" s="1"/>
      <c r="F66" s="1"/>
      <c r="G66" s="1"/>
      <c r="H66" s="1"/>
      <c r="I66" s="1"/>
      <c r="J66" s="1"/>
      <c r="K66" s="1"/>
      <c r="L66" s="1"/>
      <c r="M66" s="1"/>
      <c r="N66" s="1"/>
      <c r="O66" s="81" t="s">
        <v>193</v>
      </c>
      <c r="P66" s="251">
        <f>VLOOKUP(Input!D13,Tabelle256[#All],7)</f>
        <v>41</v>
      </c>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row>
    <row r="67" spans="1:101" ht="15.75" thickBot="1">
      <c r="A67" s="1"/>
      <c r="B67" s="54" t="s">
        <v>451</v>
      </c>
      <c r="C67" s="54">
        <f>VLOOKUP(Input!D10,Tabelle1[#All],2,FALSE)</f>
        <v>30</v>
      </c>
      <c r="D67" s="1"/>
      <c r="E67" s="1"/>
      <c r="F67" s="1"/>
      <c r="G67" s="1"/>
      <c r="H67" s="1"/>
      <c r="I67" s="1"/>
      <c r="J67" s="1"/>
      <c r="K67" s="1"/>
      <c r="L67" s="1"/>
      <c r="M67" s="1"/>
      <c r="N67" s="1"/>
      <c r="O67" s="248" t="s">
        <v>194</v>
      </c>
      <c r="P67" s="252">
        <f>VLOOKUP(Input!D13,Tabelle256[#All],8)</f>
        <v>20</v>
      </c>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row>
    <row r="68" spans="1:101">
      <c r="A68" s="1"/>
      <c r="B68" s="54" t="s">
        <v>570</v>
      </c>
      <c r="C68" s="54">
        <f>VLOOKUP(Input!D10,Tabelle1[#All],3,FALSE)</f>
        <v>1600</v>
      </c>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row>
    <row r="69" spans="1:101">
      <c r="A69" s="1"/>
      <c r="B69" s="54" t="s">
        <v>569</v>
      </c>
      <c r="C69" s="54">
        <f>VLOOKUP(Input!D10,Tabelle1[#All],4,FALSE)</f>
        <v>48000</v>
      </c>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row>
    <row r="70" spans="1:101">
      <c r="A70" s="1"/>
      <c r="B70" s="54" t="s">
        <v>452</v>
      </c>
      <c r="C70" s="54">
        <v>0.44</v>
      </c>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row>
    <row r="71" spans="1:101">
      <c r="A71" s="1"/>
      <c r="B71" s="54" t="s">
        <v>453</v>
      </c>
      <c r="C71" s="54">
        <v>72</v>
      </c>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row>
    <row r="72" spans="1:101">
      <c r="A72" s="1"/>
      <c r="B72" s="54" t="s">
        <v>455</v>
      </c>
      <c r="C72" s="54">
        <f>VLOOKUP(Input!D13,Tabelle1014[#All],5,FALSE)</f>
        <v>1</v>
      </c>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row>
    <row r="73" spans="1:101">
      <c r="A73" s="1"/>
      <c r="B73" s="54" t="s">
        <v>476</v>
      </c>
      <c r="C73" s="54">
        <f>DATEDIF(Input!G11,Input!D18,"y")</f>
        <v>5</v>
      </c>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row>
    <row r="74" spans="1:101">
      <c r="A74" s="1"/>
      <c r="B74" s="54" t="s">
        <v>477</v>
      </c>
      <c r="C74" s="54">
        <f>SUM(Input!D19,C73)</f>
        <v>10</v>
      </c>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row>
    <row r="75" spans="1:101">
      <c r="A75" s="1"/>
      <c r="B75" s="54" t="s">
        <v>478</v>
      </c>
      <c r="C75" s="54">
        <f>Input!D19</f>
        <v>5</v>
      </c>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row>
    <row r="76" spans="1:101">
      <c r="A76" s="1">
        <v>0</v>
      </c>
      <c r="B76" s="54" t="s">
        <v>642</v>
      </c>
      <c r="C76" s="274">
        <f>VLOOKUP(Input!D10,Tabelle1[#All],6,2)</f>
        <v>0</v>
      </c>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row>
    <row r="77" spans="1:101">
      <c r="A77" s="1"/>
      <c r="B77" s="54" t="s">
        <v>644</v>
      </c>
      <c r="C77" s="274">
        <f>VLOOKUP(Input!D10,Tabelle1[#All],7,2)</f>
        <v>0</v>
      </c>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row>
    <row r="78" spans="1:101">
      <c r="A78" s="1"/>
      <c r="B78" s="76"/>
      <c r="C78" s="76"/>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row>
    <row r="79" spans="1:101">
      <c r="A79" s="1"/>
      <c r="B79" s="76"/>
      <c r="C79" s="76"/>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row>
    <row r="80" spans="1:101">
      <c r="A80" s="1"/>
      <c r="B80" s="76"/>
      <c r="C80" s="76"/>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row>
    <row r="81" spans="1:101">
      <c r="A81" s="1"/>
      <c r="B81" s="76"/>
      <c r="C81" s="76"/>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row>
    <row r="82" spans="1:101">
      <c r="A82" s="1"/>
      <c r="B82" s="76"/>
      <c r="C82" s="76"/>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row>
    <row r="83" spans="1:101">
      <c r="A83" s="1"/>
      <c r="B83" s="76"/>
      <c r="C83" s="76"/>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row>
    <row r="84" spans="1:101">
      <c r="A84" s="1"/>
      <c r="B84" s="76"/>
      <c r="C84" s="76"/>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row>
    <row r="85" spans="1:101">
      <c r="A85" s="1"/>
      <c r="B85" s="76"/>
      <c r="C85" s="76"/>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row>
    <row r="86" spans="1:101">
      <c r="A86" s="1"/>
      <c r="B86" s="76"/>
      <c r="C86" s="76"/>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row>
    <row r="87" spans="1:101">
      <c r="A87" s="1"/>
      <c r="B87" s="76"/>
      <c r="C87" s="76"/>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row>
    <row r="88" spans="1:101">
      <c r="A88" s="1"/>
      <c r="B88" s="76"/>
      <c r="C88" s="76"/>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row>
    <row r="89" spans="1:101">
      <c r="A89" s="1"/>
      <c r="B89" s="76"/>
      <c r="C89" s="76"/>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row>
    <row r="90" spans="1:101">
      <c r="A90" s="1"/>
      <c r="B90" s="76"/>
      <c r="C90" s="76"/>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row>
    <row r="91" spans="1:101">
      <c r="A91" s="1"/>
      <c r="B91" s="76"/>
      <c r="C91" s="76"/>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row>
    <row r="92" spans="1:101">
      <c r="A92" s="1"/>
      <c r="B92" s="76"/>
      <c r="C92" s="76"/>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row>
    <row r="93" spans="1:10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row>
    <row r="94" spans="1:10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row>
    <row r="95" spans="1:10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row>
    <row r="96" spans="1:10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row>
    <row r="97" spans="1:10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row>
    <row r="98" spans="1:10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row>
    <row r="99" spans="1:10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row>
    <row r="100" spans="1:10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row>
    <row r="101" spans="1: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row>
    <row r="102" spans="1:10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row>
    <row r="103" spans="1:10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row>
    <row r="104" spans="1:10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row>
    <row r="105" spans="1:10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row>
    <row r="106" spans="1:10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row>
    <row r="107" spans="1:10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row>
    <row r="108" spans="1:10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row>
    <row r="109" spans="1:10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row>
    <row r="110" spans="1:10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row>
    <row r="111" spans="1:10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row>
    <row r="112" spans="1:10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row>
    <row r="113" spans="1:10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row>
    <row r="114" spans="1:10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row>
    <row r="115" spans="1:10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row>
    <row r="116" spans="1:10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row>
    <row r="117" spans="1:10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row>
    <row r="118" spans="1:10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row>
    <row r="119" spans="1:10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row>
    <row r="120" spans="1:10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row>
    <row r="121" spans="1:10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row>
    <row r="122" spans="1:10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row>
    <row r="123" spans="1:10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row>
    <row r="124" spans="1:10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row>
    <row r="125" spans="1:10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row>
    <row r="126" spans="1:10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row>
    <row r="127" spans="1:10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row>
    <row r="128" spans="1:10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row>
    <row r="129" spans="1:10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row>
    <row r="130" spans="1:10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row>
    <row r="131" spans="1:10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row>
    <row r="132" spans="1:10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row>
    <row r="133" spans="1:10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row>
    <row r="134" spans="1:10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row>
    <row r="135" spans="1:10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row>
    <row r="136" spans="1:10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row>
    <row r="137" spans="1:10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row>
    <row r="138" spans="1:10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row>
    <row r="139" spans="1:10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row>
    <row r="140" spans="1:10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row>
    <row r="141" spans="1:10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row>
    <row r="142" spans="1:10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row>
    <row r="143" spans="1:10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row>
    <row r="144" spans="1:10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row>
    <row r="145" spans="1:10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row>
    <row r="146" spans="1:10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row>
    <row r="147" spans="1:10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row>
    <row r="148" spans="1:10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row>
    <row r="149" spans="1:10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row>
    <row r="150" spans="1:10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row>
    <row r="151" spans="1:10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row>
    <row r="152" spans="1:10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row>
    <row r="153" spans="1:10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row>
    <row r="154" spans="1:10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row>
    <row r="155" spans="1:10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row>
    <row r="156" spans="1:10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row>
    <row r="157" spans="1:10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row>
    <row r="158" spans="1:10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row>
    <row r="159" spans="1:10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row>
    <row r="160" spans="1:10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row>
    <row r="161" spans="1:10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row>
    <row r="162" spans="1:10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row>
    <row r="163" spans="1:10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row>
    <row r="164" spans="1:10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row>
    <row r="165" spans="1:10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row>
    <row r="166" spans="1:10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row>
    <row r="167" spans="1:10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row>
    <row r="168" spans="1:10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row>
    <row r="169" spans="1:101">
      <c r="A169" s="1"/>
      <c r="B169" s="1"/>
      <c r="C169" s="1"/>
      <c r="D169" s="1"/>
      <c r="E169" s="1"/>
      <c r="AE169" s="1"/>
      <c r="AF169" s="1"/>
      <c r="AG169" s="1"/>
      <c r="AH169" s="1"/>
      <c r="AX169" s="1"/>
      <c r="AY169" s="1"/>
      <c r="AZ169" s="1"/>
    </row>
    <row r="170" spans="1:101">
      <c r="A170" s="1"/>
      <c r="B170" s="1"/>
      <c r="C170" s="1"/>
      <c r="D170" s="1"/>
      <c r="E170" s="1"/>
      <c r="AE170" s="1"/>
      <c r="AF170" s="1"/>
      <c r="AG170" s="1"/>
      <c r="AH170" s="1"/>
      <c r="AX170" s="1"/>
      <c r="AY170" s="1"/>
      <c r="AZ170" s="1"/>
    </row>
    <row r="171" spans="1:101">
      <c r="A171" s="1"/>
      <c r="B171" s="1"/>
      <c r="C171" s="1"/>
      <c r="D171" s="1"/>
      <c r="E171" s="1"/>
      <c r="AX171" s="1"/>
      <c r="AY171" s="1"/>
      <c r="AZ171" s="1"/>
    </row>
    <row r="172" spans="1:101">
      <c r="A172" s="1"/>
      <c r="B172" s="1"/>
      <c r="C172" s="1"/>
      <c r="D172" s="1"/>
      <c r="E172" s="1"/>
      <c r="AX172" s="1"/>
      <c r="AY172" s="1"/>
      <c r="AZ172" s="1"/>
    </row>
    <row r="173" spans="1:101">
      <c r="A173" s="1"/>
      <c r="B173" s="1"/>
      <c r="C173" s="1"/>
      <c r="D173" s="1"/>
      <c r="E173" s="1"/>
      <c r="AX173" s="1"/>
      <c r="AY173" s="1"/>
      <c r="AZ173" s="1"/>
    </row>
    <row r="174" spans="1:101">
      <c r="A174" s="1"/>
      <c r="B174" s="1"/>
      <c r="C174" s="1"/>
      <c r="D174" s="1"/>
      <c r="E174" s="1"/>
      <c r="AX174" s="1"/>
      <c r="AY174" s="1"/>
      <c r="AZ174" s="1"/>
    </row>
    <row r="175" spans="1:101">
      <c r="A175" s="1"/>
      <c r="B175" s="1"/>
      <c r="C175" s="1"/>
      <c r="D175" s="1"/>
      <c r="E175" s="1"/>
      <c r="AX175" s="1"/>
      <c r="AY175" s="1"/>
      <c r="AZ175" s="1"/>
    </row>
    <row r="176" spans="1:101">
      <c r="A176" s="1"/>
      <c r="B176" s="1"/>
      <c r="C176" s="1"/>
      <c r="D176" s="1"/>
      <c r="E176" s="1"/>
      <c r="AX176" s="1"/>
      <c r="AY176" s="1"/>
      <c r="AZ176" s="1"/>
    </row>
    <row r="177" spans="1:52">
      <c r="A177" s="1"/>
      <c r="B177" s="1"/>
      <c r="C177" s="1"/>
      <c r="D177" s="1"/>
      <c r="E177" s="1"/>
      <c r="AX177" s="1"/>
      <c r="AY177" s="1"/>
      <c r="AZ177" s="1"/>
    </row>
    <row r="178" spans="1:52">
      <c r="A178" s="1"/>
      <c r="B178" s="1"/>
      <c r="C178" s="1"/>
      <c r="D178" s="1"/>
      <c r="E178" s="1"/>
      <c r="AX178" s="1"/>
      <c r="AY178" s="1"/>
      <c r="AZ178" s="1"/>
    </row>
    <row r="179" spans="1:52">
      <c r="A179" s="1"/>
      <c r="B179" s="1"/>
      <c r="C179" s="1"/>
      <c r="D179" s="1"/>
      <c r="E179" s="1"/>
    </row>
    <row r="180" spans="1:52">
      <c r="A180" s="1"/>
      <c r="B180" s="1"/>
      <c r="C180" s="1"/>
      <c r="D180" s="1"/>
      <c r="E180" s="1"/>
    </row>
    <row r="181" spans="1:52">
      <c r="A181" s="1"/>
      <c r="B181" s="1"/>
      <c r="C181" s="1"/>
      <c r="D181" s="1"/>
      <c r="E181" s="1"/>
    </row>
    <row r="182" spans="1:52">
      <c r="A182" s="1"/>
      <c r="B182" s="1"/>
      <c r="C182" s="1"/>
      <c r="D182" s="1"/>
      <c r="E182" s="1"/>
    </row>
  </sheetData>
  <sheetProtection algorithmName="SHA-512" hashValue="6k6+4nVmzs6sFiw5k4hboziSLtrbdjwTRxPqB9G+q6Yi19zAcpoSNzx6AZKqXIp3kFjEf1nngJ9RthF5bPicCw==" saltValue="vOEOoeVN3w7I4Ll+a27ATQ==" spinCount="100000" sheet="1" objects="1" scenarios="1"/>
  <mergeCells count="48">
    <mergeCell ref="H61:K61"/>
    <mergeCell ref="AX8:AZ8"/>
    <mergeCell ref="AX9:AZ9"/>
    <mergeCell ref="C45:E45"/>
    <mergeCell ref="C49:E49"/>
    <mergeCell ref="C50:E50"/>
    <mergeCell ref="I36:K36"/>
    <mergeCell ref="I32:K32"/>
    <mergeCell ref="I33:K33"/>
    <mergeCell ref="I34:K34"/>
    <mergeCell ref="C46:E46"/>
    <mergeCell ref="C47:E47"/>
    <mergeCell ref="C48:E48"/>
    <mergeCell ref="AX25:AZ26"/>
    <mergeCell ref="B33:E33"/>
    <mergeCell ref="AE9:AH10"/>
    <mergeCell ref="B44:E44"/>
    <mergeCell ref="A1:E2"/>
    <mergeCell ref="H30:K30"/>
    <mergeCell ref="V4:AB4"/>
    <mergeCell ref="V26:Z26"/>
    <mergeCell ref="B3:E3"/>
    <mergeCell ref="B18:E18"/>
    <mergeCell ref="H3:K3"/>
    <mergeCell ref="O15:S15"/>
    <mergeCell ref="O26:S26"/>
    <mergeCell ref="J5:K5"/>
    <mergeCell ref="J6:K6"/>
    <mergeCell ref="I7:K7"/>
    <mergeCell ref="B39:E39"/>
    <mergeCell ref="H19:K19"/>
    <mergeCell ref="I44:J44"/>
    <mergeCell ref="AX1:BA2"/>
    <mergeCell ref="AK1:AP2"/>
    <mergeCell ref="V49:Z49"/>
    <mergeCell ref="H1:K2"/>
    <mergeCell ref="V15:Z15"/>
    <mergeCell ref="V37:Z37"/>
    <mergeCell ref="I35:K35"/>
    <mergeCell ref="I31:K31"/>
    <mergeCell ref="O37:S37"/>
    <mergeCell ref="O49:S49"/>
    <mergeCell ref="AE1:AG2"/>
    <mergeCell ref="N1:Q2"/>
    <mergeCell ref="N4:T4"/>
    <mergeCell ref="AF4:AG4"/>
    <mergeCell ref="AG11:AH11"/>
    <mergeCell ref="I43:J43"/>
  </mergeCells>
  <conditionalFormatting sqref="AE12">
    <cfRule type="expression" dxfId="141" priority="3">
      <formula>OR($D$17="Basic",$D$17="Basic +",$D$17="VWoGK",$D$17="VWmGK",$D$17="VWmGKR",$D$17="VVW")</formula>
    </cfRule>
  </conditionalFormatting>
  <conditionalFormatting sqref="AE13:AE14">
    <cfRule type="expression" dxfId="140" priority="2">
      <formula>OR($D$17="VWmGK",$D$17="VWmGKR",$D$17="VVW")</formula>
    </cfRule>
  </conditionalFormatting>
  <conditionalFormatting sqref="AE26">
    <cfRule type="expression" dxfId="139" priority="1">
      <formula>$D$17="VVW"</formula>
    </cfRule>
  </conditionalFormatting>
  <dataValidations count="1">
    <dataValidation allowBlank="1" showInputMessage="1" showErrorMessage="1" promptTitle="Number of collected data" prompt="gives an overview of how useful the data is. Currently only for the DWTS." sqref="P63:P67 A61:D61 F4 L4 O62:P62 F61:N61" xr:uid="{00000000-0002-0000-0700-000000000000}"/>
  </dataValidations>
  <pageMargins left="0.7" right="0.7" top="0.78740157499999996" bottom="0.78740157499999996"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dimension ref="B2:AW87"/>
  <sheetViews>
    <sheetView topLeftCell="AB1" zoomScale="70" zoomScaleNormal="70" workbookViewId="0">
      <selection activeCell="J52" sqref="J52"/>
    </sheetView>
  </sheetViews>
  <sheetFormatPr baseColWidth="10" defaultColWidth="11.42578125" defaultRowHeight="15"/>
  <cols>
    <col min="1" max="1" width="11.42578125" style="1"/>
    <col min="2" max="3" width="22.7109375" style="1" customWidth="1"/>
    <col min="4" max="4" width="11.42578125" style="1"/>
    <col min="5" max="5" width="15.140625" style="1" customWidth="1"/>
    <col min="6" max="6" width="12.85546875" style="1" customWidth="1"/>
    <col min="7" max="7" width="39" style="1" customWidth="1"/>
    <col min="8" max="8" width="23.28515625" style="1" customWidth="1"/>
    <col min="9" max="9" width="30.85546875" style="1" customWidth="1"/>
    <col min="10" max="10" width="26.28515625" style="1" customWidth="1"/>
    <col min="11" max="11" width="11.42578125" style="1"/>
    <col min="12" max="12" width="19.140625" style="1" customWidth="1"/>
    <col min="13" max="13" width="17.7109375" style="1" customWidth="1"/>
    <col min="14" max="14" width="12" style="1" customWidth="1"/>
    <col min="15" max="17" width="11.42578125" style="1"/>
    <col min="18" max="21" width="13.28515625" style="1" customWidth="1"/>
    <col min="22" max="23" width="14.28515625" style="1" customWidth="1"/>
    <col min="24" max="24" width="28" style="1" customWidth="1"/>
    <col min="25" max="25" width="23.7109375" style="1" customWidth="1"/>
    <col min="26" max="26" width="11.42578125" style="1"/>
    <col min="27" max="27" width="12" style="1" customWidth="1"/>
    <col min="28" max="31" width="11.42578125" style="1"/>
    <col min="32" max="35" width="13.28515625" style="1" customWidth="1"/>
    <col min="36" max="37" width="14.28515625" style="1" customWidth="1"/>
    <col min="38" max="38" width="20.140625" style="1" customWidth="1"/>
    <col min="39" max="39" width="11.42578125" style="1"/>
    <col min="40" max="40" width="15" style="1" customWidth="1"/>
    <col min="41" max="44" width="11.42578125" style="1"/>
    <col min="45" max="48" width="17.42578125" style="1" customWidth="1"/>
    <col min="49" max="49" width="18.42578125" style="1" customWidth="1"/>
    <col min="50" max="50" width="19" style="1" customWidth="1"/>
    <col min="51" max="16384" width="11.42578125" style="1"/>
  </cols>
  <sheetData>
    <row r="2" spans="2:49" ht="18.75">
      <c r="B2" s="161" t="s">
        <v>676</v>
      </c>
    </row>
    <row r="3" spans="2:49" ht="18.75">
      <c r="L3" s="161" t="s">
        <v>447</v>
      </c>
      <c r="Z3" s="161" t="s">
        <v>722</v>
      </c>
      <c r="AL3" s="253" t="s">
        <v>710</v>
      </c>
    </row>
    <row r="4" spans="2:49">
      <c r="B4" s="321" t="s">
        <v>677</v>
      </c>
      <c r="C4" s="321" t="s">
        <v>704</v>
      </c>
      <c r="D4" s="321" t="s">
        <v>678</v>
      </c>
      <c r="E4" s="321" t="s">
        <v>679</v>
      </c>
      <c r="F4" s="321" t="s">
        <v>680</v>
      </c>
      <c r="G4" s="321" t="s">
        <v>681</v>
      </c>
      <c r="H4" s="321" t="s">
        <v>682</v>
      </c>
      <c r="I4" s="321" t="s">
        <v>683</v>
      </c>
      <c r="J4" s="321" t="s">
        <v>684</v>
      </c>
      <c r="L4" s="1" t="s">
        <v>187</v>
      </c>
      <c r="M4" s="1" t="s">
        <v>188</v>
      </c>
      <c r="N4" s="1" t="s">
        <v>160</v>
      </c>
      <c r="O4" s="1" t="s">
        <v>161</v>
      </c>
      <c r="P4" s="1" t="s">
        <v>162</v>
      </c>
      <c r="Q4" s="1" t="s">
        <v>678</v>
      </c>
      <c r="R4" s="1" t="s">
        <v>696</v>
      </c>
      <c r="S4" s="1" t="s">
        <v>697</v>
      </c>
      <c r="T4" s="1" t="s">
        <v>698</v>
      </c>
      <c r="U4" s="1" t="s">
        <v>699</v>
      </c>
      <c r="V4" s="1" t="s">
        <v>700</v>
      </c>
      <c r="W4" s="1" t="s">
        <v>701</v>
      </c>
      <c r="Y4" s="1" t="s">
        <v>187</v>
      </c>
      <c r="Z4" s="1" t="s">
        <v>188</v>
      </c>
      <c r="AA4" s="1" t="s">
        <v>160</v>
      </c>
      <c r="AB4" s="1" t="s">
        <v>161</v>
      </c>
      <c r="AC4" s="1" t="s">
        <v>162</v>
      </c>
      <c r="AD4" s="1" t="s">
        <v>678</v>
      </c>
      <c r="AE4" s="1" t="s">
        <v>696</v>
      </c>
      <c r="AF4" s="1" t="s">
        <v>697</v>
      </c>
      <c r="AG4" s="1" t="s">
        <v>698</v>
      </c>
      <c r="AH4" s="1" t="s">
        <v>699</v>
      </c>
      <c r="AI4" s="1" t="s">
        <v>700</v>
      </c>
      <c r="AJ4" s="1" t="s">
        <v>701</v>
      </c>
      <c r="AL4" s="1" t="s">
        <v>187</v>
      </c>
      <c r="AM4" s="1" t="s">
        <v>188</v>
      </c>
      <c r="AN4" s="1" t="s">
        <v>160</v>
      </c>
      <c r="AO4" s="1" t="s">
        <v>161</v>
      </c>
      <c r="AP4" s="1" t="s">
        <v>162</v>
      </c>
      <c r="AQ4" s="1" t="s">
        <v>678</v>
      </c>
      <c r="AR4" s="1" t="s">
        <v>696</v>
      </c>
      <c r="AS4" s="1" t="s">
        <v>697</v>
      </c>
      <c r="AT4" s="1" t="s">
        <v>698</v>
      </c>
      <c r="AU4" s="1" t="s">
        <v>699</v>
      </c>
      <c r="AV4" s="1" t="s">
        <v>700</v>
      </c>
      <c r="AW4" s="1" t="s">
        <v>701</v>
      </c>
    </row>
    <row r="5" spans="2:49">
      <c r="B5" s="305">
        <v>1</v>
      </c>
      <c r="C5" s="305">
        <v>2</v>
      </c>
      <c r="D5" s="305">
        <v>0</v>
      </c>
      <c r="E5" s="305">
        <v>0</v>
      </c>
      <c r="F5" s="305">
        <v>0</v>
      </c>
      <c r="G5" s="305">
        <v>0</v>
      </c>
      <c r="H5" s="305">
        <v>0</v>
      </c>
      <c r="I5" s="305">
        <v>0</v>
      </c>
      <c r="J5" s="305">
        <v>0</v>
      </c>
      <c r="L5" s="305" t="s">
        <v>98</v>
      </c>
      <c r="M5" s="305" t="s">
        <v>534</v>
      </c>
      <c r="N5" s="215">
        <v>6</v>
      </c>
      <c r="O5" s="215">
        <v>16.5</v>
      </c>
      <c r="P5" s="215">
        <v>23</v>
      </c>
      <c r="Q5" s="305">
        <v>0.5</v>
      </c>
      <c r="R5" s="305">
        <v>0</v>
      </c>
      <c r="S5" s="305">
        <v>0</v>
      </c>
      <c r="T5" s="305">
        <v>0</v>
      </c>
      <c r="U5" s="305">
        <v>0</v>
      </c>
      <c r="V5" s="305">
        <v>0</v>
      </c>
      <c r="W5" s="305">
        <v>0</v>
      </c>
      <c r="Y5" s="305" t="s">
        <v>98</v>
      </c>
      <c r="Z5" s="305" t="s">
        <v>534</v>
      </c>
      <c r="AA5" s="201">
        <v>11</v>
      </c>
      <c r="AB5" s="201">
        <v>113</v>
      </c>
      <c r="AC5" s="201">
        <v>159.5</v>
      </c>
      <c r="AD5" s="305">
        <v>0</v>
      </c>
      <c r="AE5" s="305">
        <v>0</v>
      </c>
      <c r="AF5" s="305">
        <v>0</v>
      </c>
      <c r="AG5" s="305">
        <v>0</v>
      </c>
      <c r="AH5" s="305">
        <v>0</v>
      </c>
      <c r="AI5" s="305">
        <v>0</v>
      </c>
      <c r="AJ5" s="305">
        <v>0</v>
      </c>
      <c r="AL5" s="305" t="s">
        <v>98</v>
      </c>
      <c r="AM5" s="305" t="s">
        <v>534</v>
      </c>
      <c r="AN5" s="305">
        <v>13</v>
      </c>
      <c r="AO5" s="305">
        <v>104</v>
      </c>
      <c r="AP5" s="305">
        <v>96</v>
      </c>
      <c r="AQ5" s="305">
        <v>7</v>
      </c>
      <c r="AR5" s="305">
        <v>0</v>
      </c>
      <c r="AS5" s="305">
        <v>0</v>
      </c>
      <c r="AT5" s="305">
        <v>0</v>
      </c>
      <c r="AU5" s="305">
        <v>0</v>
      </c>
      <c r="AV5" s="305">
        <v>0</v>
      </c>
      <c r="AW5" s="305">
        <v>0</v>
      </c>
    </row>
    <row r="6" spans="2:49">
      <c r="B6" s="305">
        <v>2</v>
      </c>
      <c r="C6" s="337">
        <v>2</v>
      </c>
      <c r="D6" s="305">
        <v>0</v>
      </c>
      <c r="E6" s="305">
        <v>1</v>
      </c>
      <c r="F6" s="305">
        <v>0</v>
      </c>
      <c r="G6" s="305">
        <v>0</v>
      </c>
      <c r="H6" s="305">
        <v>0</v>
      </c>
      <c r="I6" s="305">
        <v>0</v>
      </c>
      <c r="J6" s="305">
        <v>0</v>
      </c>
      <c r="L6" s="305" t="s">
        <v>99</v>
      </c>
      <c r="M6" s="305" t="s">
        <v>534</v>
      </c>
      <c r="N6" s="215">
        <v>0</v>
      </c>
      <c r="O6" s="215">
        <v>18</v>
      </c>
      <c r="P6" s="215">
        <v>24</v>
      </c>
      <c r="Q6" s="305">
        <v>3.5</v>
      </c>
      <c r="R6" s="305">
        <v>0</v>
      </c>
      <c r="S6" s="305">
        <v>0</v>
      </c>
      <c r="T6" s="305">
        <v>0</v>
      </c>
      <c r="U6" s="305">
        <v>0</v>
      </c>
      <c r="V6" s="305">
        <v>0</v>
      </c>
      <c r="W6" s="305">
        <v>0</v>
      </c>
      <c r="Y6" s="305" t="s">
        <v>99</v>
      </c>
      <c r="Z6" s="305" t="s">
        <v>534</v>
      </c>
      <c r="AA6" s="201">
        <v>0</v>
      </c>
      <c r="AB6" s="201">
        <v>107</v>
      </c>
      <c r="AC6" s="201">
        <v>119</v>
      </c>
      <c r="AD6" s="305">
        <v>15</v>
      </c>
      <c r="AE6" s="305">
        <v>0</v>
      </c>
      <c r="AF6" s="305">
        <v>0</v>
      </c>
      <c r="AG6" s="305">
        <v>0</v>
      </c>
      <c r="AH6" s="305">
        <v>0</v>
      </c>
      <c r="AI6" s="305">
        <v>0</v>
      </c>
      <c r="AJ6" s="305">
        <v>0</v>
      </c>
      <c r="AL6" s="305" t="s">
        <v>99</v>
      </c>
      <c r="AM6" s="305" t="s">
        <v>534</v>
      </c>
      <c r="AN6" s="305">
        <v>0</v>
      </c>
      <c r="AO6" s="305">
        <v>148</v>
      </c>
      <c r="AP6" s="305">
        <v>80</v>
      </c>
      <c r="AQ6" s="305">
        <v>66</v>
      </c>
      <c r="AR6" s="305">
        <v>0</v>
      </c>
      <c r="AS6" s="305">
        <v>0</v>
      </c>
      <c r="AT6" s="305">
        <v>0</v>
      </c>
      <c r="AU6" s="305">
        <v>0</v>
      </c>
      <c r="AV6" s="305">
        <v>0</v>
      </c>
      <c r="AW6" s="305">
        <v>0</v>
      </c>
    </row>
    <row r="7" spans="2:49">
      <c r="B7" s="305">
        <v>3</v>
      </c>
      <c r="C7" s="337">
        <v>2</v>
      </c>
      <c r="D7" s="305">
        <v>0</v>
      </c>
      <c r="E7" s="305">
        <v>0</v>
      </c>
      <c r="F7" s="305">
        <v>1</v>
      </c>
      <c r="G7" s="305">
        <v>0</v>
      </c>
      <c r="H7" s="305">
        <v>0</v>
      </c>
      <c r="I7" s="305">
        <v>0</v>
      </c>
      <c r="J7" s="305">
        <v>0</v>
      </c>
      <c r="L7" s="305" t="s">
        <v>100</v>
      </c>
      <c r="M7" s="305" t="s">
        <v>534</v>
      </c>
      <c r="N7" s="216">
        <v>7</v>
      </c>
      <c r="O7" s="216">
        <v>17.5</v>
      </c>
      <c r="P7" s="216">
        <v>23</v>
      </c>
      <c r="Q7" s="305">
        <v>6</v>
      </c>
      <c r="R7" s="305">
        <v>2.5</v>
      </c>
      <c r="S7" s="305">
        <v>0</v>
      </c>
      <c r="T7" s="305">
        <v>0</v>
      </c>
      <c r="U7" s="305">
        <v>0</v>
      </c>
      <c r="V7" s="305">
        <v>0</v>
      </c>
      <c r="W7" s="305">
        <v>0</v>
      </c>
      <c r="Y7" s="305" t="s">
        <v>100</v>
      </c>
      <c r="Z7" s="305" t="s">
        <v>534</v>
      </c>
      <c r="AA7" s="201">
        <v>19</v>
      </c>
      <c r="AB7" s="201">
        <v>133</v>
      </c>
      <c r="AC7" s="201">
        <v>161</v>
      </c>
      <c r="AD7" s="305">
        <v>0</v>
      </c>
      <c r="AE7" s="305">
        <v>0</v>
      </c>
      <c r="AF7" s="305">
        <v>3</v>
      </c>
      <c r="AG7" s="305">
        <v>0</v>
      </c>
      <c r="AH7" s="305">
        <v>0</v>
      </c>
      <c r="AI7" s="305">
        <v>0</v>
      </c>
      <c r="AJ7" s="305">
        <v>0</v>
      </c>
      <c r="AL7" s="305" t="s">
        <v>100</v>
      </c>
      <c r="AM7" s="305" t="s">
        <v>534</v>
      </c>
      <c r="AN7" s="305">
        <v>139</v>
      </c>
      <c r="AO7" s="305">
        <v>240</v>
      </c>
      <c r="AP7" s="305">
        <v>55</v>
      </c>
      <c r="AQ7" s="305">
        <v>69</v>
      </c>
      <c r="AR7" s="305">
        <v>99</v>
      </c>
      <c r="AS7" s="305">
        <v>17</v>
      </c>
      <c r="AT7" s="305">
        <v>0</v>
      </c>
      <c r="AU7" s="305">
        <v>0</v>
      </c>
      <c r="AV7" s="305">
        <v>0</v>
      </c>
      <c r="AW7" s="305">
        <v>0</v>
      </c>
    </row>
    <row r="8" spans="2:49">
      <c r="B8" s="305">
        <v>4</v>
      </c>
      <c r="C8" s="337">
        <v>2</v>
      </c>
      <c r="D8" s="305">
        <v>0</v>
      </c>
      <c r="E8" s="305">
        <v>1</v>
      </c>
      <c r="F8" s="305">
        <v>0</v>
      </c>
      <c r="G8" s="305">
        <v>1</v>
      </c>
      <c r="H8" s="305">
        <v>0</v>
      </c>
      <c r="I8" s="305">
        <v>0</v>
      </c>
      <c r="J8" s="305">
        <v>0</v>
      </c>
      <c r="L8" s="305" t="s">
        <v>101</v>
      </c>
      <c r="M8" s="305" t="s">
        <v>534</v>
      </c>
      <c r="N8" s="216">
        <v>7</v>
      </c>
      <c r="O8" s="216">
        <v>19</v>
      </c>
      <c r="P8" s="216">
        <v>29.5</v>
      </c>
      <c r="Q8" s="305">
        <v>0</v>
      </c>
      <c r="R8" s="305">
        <v>0</v>
      </c>
      <c r="S8" s="305">
        <v>0</v>
      </c>
      <c r="T8" s="305">
        <v>0</v>
      </c>
      <c r="U8" s="305">
        <v>0</v>
      </c>
      <c r="V8" s="305">
        <v>0</v>
      </c>
      <c r="W8" s="305">
        <v>0</v>
      </c>
      <c r="Y8" s="305" t="s">
        <v>101</v>
      </c>
      <c r="Z8" s="305" t="s">
        <v>534</v>
      </c>
      <c r="AA8" s="201">
        <v>14</v>
      </c>
      <c r="AB8" s="201">
        <v>127</v>
      </c>
      <c r="AC8" s="201">
        <v>190</v>
      </c>
      <c r="AD8" s="305">
        <v>22</v>
      </c>
      <c r="AE8" s="305">
        <v>131</v>
      </c>
      <c r="AF8" s="305">
        <v>158</v>
      </c>
      <c r="AG8" s="305">
        <v>0</v>
      </c>
      <c r="AH8" s="305">
        <v>0</v>
      </c>
      <c r="AI8" s="305">
        <v>0</v>
      </c>
      <c r="AJ8" s="305">
        <v>0</v>
      </c>
      <c r="AL8" s="305" t="s">
        <v>101</v>
      </c>
      <c r="AM8" s="305" t="s">
        <v>534</v>
      </c>
      <c r="AN8" s="305">
        <v>12</v>
      </c>
      <c r="AO8" s="305">
        <v>36</v>
      </c>
      <c r="AP8" s="305">
        <v>8</v>
      </c>
      <c r="AQ8" s="305">
        <v>9</v>
      </c>
      <c r="AR8" s="305">
        <v>20</v>
      </c>
      <c r="AS8" s="305">
        <v>1</v>
      </c>
      <c r="AT8" s="305">
        <v>0</v>
      </c>
      <c r="AU8" s="305">
        <v>0</v>
      </c>
      <c r="AV8" s="305">
        <v>0</v>
      </c>
      <c r="AW8" s="305">
        <v>0</v>
      </c>
    </row>
    <row r="9" spans="2:49">
      <c r="B9" s="305">
        <v>5</v>
      </c>
      <c r="C9" s="337">
        <v>2</v>
      </c>
      <c r="D9" s="305">
        <v>1</v>
      </c>
      <c r="E9" s="305">
        <v>0</v>
      </c>
      <c r="F9" s="305">
        <v>0</v>
      </c>
      <c r="G9" s="305">
        <v>0</v>
      </c>
      <c r="H9" s="305">
        <v>0</v>
      </c>
      <c r="I9" s="305">
        <v>0</v>
      </c>
      <c r="J9" s="305">
        <v>0</v>
      </c>
      <c r="L9" s="305" t="s">
        <v>102</v>
      </c>
      <c r="M9" s="305" t="s">
        <v>534</v>
      </c>
      <c r="N9" s="216">
        <v>7.5</v>
      </c>
      <c r="O9" s="216">
        <v>28</v>
      </c>
      <c r="P9" s="216">
        <v>32</v>
      </c>
      <c r="Q9" s="305">
        <v>6.5</v>
      </c>
      <c r="R9" s="305">
        <v>4.5</v>
      </c>
      <c r="S9" s="305">
        <v>5</v>
      </c>
      <c r="T9" s="305">
        <v>0</v>
      </c>
      <c r="U9" s="305">
        <v>0</v>
      </c>
      <c r="V9" s="305">
        <v>0</v>
      </c>
      <c r="W9" s="305">
        <v>0</v>
      </c>
      <c r="Y9" s="305" t="s">
        <v>102</v>
      </c>
      <c r="Z9" s="305" t="s">
        <v>534</v>
      </c>
      <c r="AA9" s="201">
        <v>13</v>
      </c>
      <c r="AB9" s="201">
        <v>305</v>
      </c>
      <c r="AC9" s="201">
        <v>380</v>
      </c>
      <c r="AD9" s="305">
        <v>0</v>
      </c>
      <c r="AE9" s="305">
        <v>0</v>
      </c>
      <c r="AF9" s="305">
        <v>0</v>
      </c>
      <c r="AG9" s="305">
        <v>0</v>
      </c>
      <c r="AH9" s="305">
        <v>0</v>
      </c>
      <c r="AI9" s="305">
        <v>0</v>
      </c>
      <c r="AJ9" s="305">
        <v>0</v>
      </c>
      <c r="AL9" s="305" t="s">
        <v>102</v>
      </c>
      <c r="AM9" s="305" t="s">
        <v>534</v>
      </c>
      <c r="AN9" s="305">
        <v>118</v>
      </c>
      <c r="AO9" s="305">
        <v>209</v>
      </c>
      <c r="AP9" s="305">
        <v>35</v>
      </c>
      <c r="AQ9" s="305">
        <v>77</v>
      </c>
      <c r="AR9" s="305">
        <v>91</v>
      </c>
      <c r="AS9" s="305">
        <v>12</v>
      </c>
      <c r="AT9" s="305">
        <v>0</v>
      </c>
      <c r="AU9" s="305">
        <v>0</v>
      </c>
      <c r="AV9" s="305">
        <v>0</v>
      </c>
      <c r="AW9" s="305">
        <v>0</v>
      </c>
    </row>
    <row r="10" spans="2:49">
      <c r="B10" s="305">
        <v>6</v>
      </c>
      <c r="C10" s="337">
        <v>2</v>
      </c>
      <c r="D10" s="305">
        <v>0</v>
      </c>
      <c r="E10" s="305">
        <v>1</v>
      </c>
      <c r="F10" s="305">
        <v>1</v>
      </c>
      <c r="G10" s="305">
        <v>0</v>
      </c>
      <c r="H10" s="305">
        <v>1</v>
      </c>
      <c r="I10" s="305">
        <v>0</v>
      </c>
      <c r="J10" s="305">
        <v>0</v>
      </c>
      <c r="L10" s="305" t="s">
        <v>103</v>
      </c>
      <c r="M10" s="305" t="s">
        <v>534</v>
      </c>
      <c r="N10" s="216">
        <v>9.5</v>
      </c>
      <c r="O10" s="216">
        <v>27.5</v>
      </c>
      <c r="P10" s="216">
        <v>33</v>
      </c>
      <c r="Q10" s="305">
        <v>2</v>
      </c>
      <c r="R10" s="305">
        <v>2.5</v>
      </c>
      <c r="S10" s="305">
        <v>0</v>
      </c>
      <c r="T10" s="305">
        <v>0</v>
      </c>
      <c r="U10" s="305">
        <v>0</v>
      </c>
      <c r="V10" s="305">
        <v>0</v>
      </c>
      <c r="W10" s="305">
        <v>0</v>
      </c>
      <c r="Y10" s="305" t="s">
        <v>103</v>
      </c>
      <c r="Z10" s="305" t="s">
        <v>534</v>
      </c>
      <c r="AA10" s="201">
        <v>21</v>
      </c>
      <c r="AB10" s="201">
        <v>290</v>
      </c>
      <c r="AC10" s="201">
        <v>314</v>
      </c>
      <c r="AD10" s="305">
        <v>87</v>
      </c>
      <c r="AE10" s="305">
        <v>62</v>
      </c>
      <c r="AF10" s="305">
        <v>0</v>
      </c>
      <c r="AG10" s="305">
        <v>0</v>
      </c>
      <c r="AH10" s="305">
        <v>0</v>
      </c>
      <c r="AI10" s="305">
        <v>0</v>
      </c>
      <c r="AJ10" s="305">
        <v>0</v>
      </c>
      <c r="AL10" s="305" t="s">
        <v>103</v>
      </c>
      <c r="AM10" s="305" t="s">
        <v>534</v>
      </c>
      <c r="AN10" s="305">
        <v>44</v>
      </c>
      <c r="AO10" s="305">
        <v>225</v>
      </c>
      <c r="AP10" s="305">
        <v>111</v>
      </c>
      <c r="AQ10" s="305">
        <v>31</v>
      </c>
      <c r="AR10" s="305">
        <v>40</v>
      </c>
      <c r="AS10" s="305">
        <v>51</v>
      </c>
      <c r="AT10" s="305">
        <v>0</v>
      </c>
      <c r="AU10" s="305">
        <v>0</v>
      </c>
      <c r="AV10" s="305">
        <v>0</v>
      </c>
      <c r="AW10" s="305">
        <v>0</v>
      </c>
    </row>
    <row r="11" spans="2:49">
      <c r="B11" s="305">
        <v>7</v>
      </c>
      <c r="C11" s="337">
        <v>2</v>
      </c>
      <c r="D11" s="305">
        <v>0</v>
      </c>
      <c r="E11" s="305">
        <v>0</v>
      </c>
      <c r="F11" s="305">
        <v>0</v>
      </c>
      <c r="G11" s="305">
        <v>0</v>
      </c>
      <c r="H11" s="305">
        <v>0</v>
      </c>
      <c r="I11" s="305">
        <v>0</v>
      </c>
      <c r="J11" s="305">
        <v>0</v>
      </c>
      <c r="L11" s="305" t="s">
        <v>105</v>
      </c>
      <c r="M11" s="305" t="s">
        <v>104</v>
      </c>
      <c r="N11" s="216">
        <v>0</v>
      </c>
      <c r="O11" s="216">
        <v>0</v>
      </c>
      <c r="P11" s="216">
        <v>31</v>
      </c>
      <c r="Q11" s="305">
        <v>0</v>
      </c>
      <c r="R11" s="305">
        <v>0</v>
      </c>
      <c r="S11" s="305">
        <v>0</v>
      </c>
      <c r="T11" s="305">
        <v>0</v>
      </c>
      <c r="U11" s="305">
        <v>0</v>
      </c>
      <c r="V11" s="305">
        <v>0</v>
      </c>
      <c r="W11" s="305">
        <v>0</v>
      </c>
      <c r="Y11" s="305" t="s">
        <v>105</v>
      </c>
      <c r="Z11" s="305" t="s">
        <v>104</v>
      </c>
      <c r="AA11" s="201">
        <v>0</v>
      </c>
      <c r="AB11" s="201">
        <v>0</v>
      </c>
      <c r="AC11" s="201">
        <v>10</v>
      </c>
      <c r="AD11" s="305">
        <v>0</v>
      </c>
      <c r="AE11" s="305">
        <v>0</v>
      </c>
      <c r="AF11" s="305">
        <v>0</v>
      </c>
      <c r="AG11" s="305">
        <v>0</v>
      </c>
      <c r="AH11" s="305">
        <v>0</v>
      </c>
      <c r="AI11" s="305">
        <v>0</v>
      </c>
      <c r="AJ11" s="305">
        <v>0</v>
      </c>
      <c r="AL11" s="305" t="s">
        <v>105</v>
      </c>
      <c r="AM11" s="305" t="s">
        <v>104</v>
      </c>
      <c r="AN11" s="305">
        <v>0</v>
      </c>
      <c r="AO11" s="305">
        <v>0</v>
      </c>
      <c r="AP11" s="305">
        <v>1</v>
      </c>
      <c r="AQ11" s="305">
        <v>0</v>
      </c>
      <c r="AR11" s="305">
        <v>0</v>
      </c>
      <c r="AS11" s="305">
        <v>0</v>
      </c>
      <c r="AT11" s="305">
        <v>0</v>
      </c>
      <c r="AU11" s="305">
        <v>0</v>
      </c>
      <c r="AV11" s="305">
        <v>0</v>
      </c>
      <c r="AW11" s="305">
        <v>0</v>
      </c>
    </row>
    <row r="12" spans="2:49">
      <c r="B12" s="305">
        <v>8</v>
      </c>
      <c r="C12" s="337">
        <v>2</v>
      </c>
      <c r="D12" s="305">
        <v>0</v>
      </c>
      <c r="E12" s="305">
        <v>1</v>
      </c>
      <c r="F12" s="305">
        <v>0</v>
      </c>
      <c r="G12" s="305">
        <v>1</v>
      </c>
      <c r="H12" s="305">
        <v>0</v>
      </c>
      <c r="I12" s="305">
        <v>0</v>
      </c>
      <c r="J12" s="305">
        <v>0</v>
      </c>
      <c r="L12" s="305" t="s">
        <v>107</v>
      </c>
      <c r="M12" s="305" t="s">
        <v>106</v>
      </c>
      <c r="N12" s="216">
        <v>0</v>
      </c>
      <c r="O12" s="216">
        <v>23</v>
      </c>
      <c r="P12" s="216">
        <v>35.5</v>
      </c>
      <c r="Q12" s="305">
        <v>0.5</v>
      </c>
      <c r="R12" s="305">
        <v>0</v>
      </c>
      <c r="S12" s="305">
        <v>0</v>
      </c>
      <c r="T12" s="305">
        <v>0</v>
      </c>
      <c r="U12" s="305">
        <v>0</v>
      </c>
      <c r="V12" s="305">
        <v>0</v>
      </c>
      <c r="W12" s="305">
        <v>0</v>
      </c>
      <c r="Y12" s="305" t="s">
        <v>107</v>
      </c>
      <c r="Z12" s="305" t="s">
        <v>106</v>
      </c>
      <c r="AA12" s="201">
        <v>0</v>
      </c>
      <c r="AB12" s="201">
        <v>244</v>
      </c>
      <c r="AC12" s="201">
        <v>638</v>
      </c>
      <c r="AD12" s="305">
        <v>0</v>
      </c>
      <c r="AE12" s="305">
        <v>0</v>
      </c>
      <c r="AF12" s="305">
        <v>0</v>
      </c>
      <c r="AG12" s="305">
        <v>0</v>
      </c>
      <c r="AH12" s="305">
        <v>0</v>
      </c>
      <c r="AI12" s="305">
        <v>0</v>
      </c>
      <c r="AJ12" s="305">
        <v>0</v>
      </c>
      <c r="AL12" s="305" t="s">
        <v>107</v>
      </c>
      <c r="AM12" s="305" t="s">
        <v>106</v>
      </c>
      <c r="AN12" s="305">
        <v>0</v>
      </c>
      <c r="AO12" s="305">
        <v>90</v>
      </c>
      <c r="AP12" s="305">
        <v>63</v>
      </c>
      <c r="AQ12" s="305">
        <v>5</v>
      </c>
      <c r="AR12" s="305">
        <v>0</v>
      </c>
      <c r="AS12" s="305">
        <v>20</v>
      </c>
      <c r="AT12" s="305">
        <v>0</v>
      </c>
      <c r="AU12" s="305">
        <v>0</v>
      </c>
      <c r="AV12" s="305">
        <v>0</v>
      </c>
      <c r="AW12" s="305">
        <v>0</v>
      </c>
    </row>
    <row r="13" spans="2:49">
      <c r="B13" s="305">
        <v>9</v>
      </c>
      <c r="C13" s="337">
        <v>2</v>
      </c>
      <c r="D13" s="305">
        <v>0</v>
      </c>
      <c r="E13" s="305">
        <v>0</v>
      </c>
      <c r="F13" s="305">
        <v>1</v>
      </c>
      <c r="G13" s="305">
        <v>0</v>
      </c>
      <c r="H13" s="305">
        <v>0</v>
      </c>
      <c r="I13" s="305">
        <v>0</v>
      </c>
      <c r="J13" s="305">
        <v>0</v>
      </c>
      <c r="L13" s="305" t="s">
        <v>108</v>
      </c>
      <c r="M13" s="305" t="s">
        <v>106</v>
      </c>
      <c r="N13" s="216">
        <v>0</v>
      </c>
      <c r="O13" s="216">
        <v>23</v>
      </c>
      <c r="P13" s="216">
        <v>35.5</v>
      </c>
      <c r="Q13" s="305">
        <v>5</v>
      </c>
      <c r="R13" s="305">
        <v>0</v>
      </c>
      <c r="S13" s="305">
        <v>0</v>
      </c>
      <c r="T13" s="305">
        <v>0</v>
      </c>
      <c r="U13" s="305">
        <v>0</v>
      </c>
      <c r="V13" s="305">
        <v>5.5</v>
      </c>
      <c r="W13" s="305">
        <v>0</v>
      </c>
      <c r="Y13" s="305" t="s">
        <v>108</v>
      </c>
      <c r="Z13" s="305" t="s">
        <v>106</v>
      </c>
      <c r="AA13" s="201">
        <v>0</v>
      </c>
      <c r="AB13" s="201">
        <v>280</v>
      </c>
      <c r="AC13" s="201">
        <v>748</v>
      </c>
      <c r="AD13" s="305">
        <v>0</v>
      </c>
      <c r="AE13" s="305">
        <v>0</v>
      </c>
      <c r="AF13" s="305">
        <v>5</v>
      </c>
      <c r="AG13" s="305">
        <v>0</v>
      </c>
      <c r="AH13" s="305">
        <v>0</v>
      </c>
      <c r="AI13" s="305">
        <v>72</v>
      </c>
      <c r="AJ13" s="305">
        <v>0</v>
      </c>
      <c r="AL13" s="305" t="s">
        <v>108</v>
      </c>
      <c r="AM13" s="305" t="s">
        <v>106</v>
      </c>
      <c r="AN13" s="305">
        <v>16</v>
      </c>
      <c r="AO13" s="305">
        <v>394</v>
      </c>
      <c r="AP13" s="305">
        <v>254</v>
      </c>
      <c r="AQ13" s="305">
        <v>99</v>
      </c>
      <c r="AR13" s="305">
        <v>0</v>
      </c>
      <c r="AS13" s="305">
        <v>33</v>
      </c>
      <c r="AT13" s="305">
        <v>0</v>
      </c>
      <c r="AU13" s="305">
        <v>0</v>
      </c>
      <c r="AV13" s="305">
        <v>4</v>
      </c>
      <c r="AW13" s="305">
        <v>0</v>
      </c>
    </row>
    <row r="14" spans="2:49">
      <c r="B14" s="305">
        <v>10</v>
      </c>
      <c r="C14" s="337">
        <v>2</v>
      </c>
      <c r="D14" s="305">
        <v>1</v>
      </c>
      <c r="E14" s="305">
        <v>1</v>
      </c>
      <c r="F14" s="305">
        <v>0</v>
      </c>
      <c r="G14" s="305">
        <v>0</v>
      </c>
      <c r="H14" s="305">
        <v>0</v>
      </c>
      <c r="I14" s="305">
        <v>1</v>
      </c>
      <c r="J14" s="305">
        <v>0</v>
      </c>
      <c r="L14" s="441" t="s">
        <v>109</v>
      </c>
      <c r="M14" s="305" t="s">
        <v>106</v>
      </c>
      <c r="N14" s="216">
        <v>0</v>
      </c>
      <c r="O14" s="216">
        <v>9</v>
      </c>
      <c r="P14" s="216">
        <v>12.5</v>
      </c>
      <c r="Q14" s="305">
        <v>0</v>
      </c>
      <c r="R14" s="305">
        <v>0</v>
      </c>
      <c r="S14" s="305">
        <v>3</v>
      </c>
      <c r="T14" s="305">
        <v>0</v>
      </c>
      <c r="U14" s="305">
        <v>0</v>
      </c>
      <c r="V14" s="305">
        <v>0</v>
      </c>
      <c r="W14" s="305">
        <v>0</v>
      </c>
      <c r="Y14" s="305" t="s">
        <v>109</v>
      </c>
      <c r="Z14" s="305" t="s">
        <v>106</v>
      </c>
      <c r="AA14" s="201">
        <v>0</v>
      </c>
      <c r="AB14" s="201">
        <v>21</v>
      </c>
      <c r="AC14" s="201">
        <v>114</v>
      </c>
      <c r="AD14" s="305">
        <v>0</v>
      </c>
      <c r="AE14" s="305">
        <v>0</v>
      </c>
      <c r="AF14" s="305">
        <v>0</v>
      </c>
      <c r="AG14" s="305">
        <v>0</v>
      </c>
      <c r="AH14" s="305">
        <v>0</v>
      </c>
      <c r="AI14" s="305">
        <v>0</v>
      </c>
      <c r="AJ14" s="305">
        <v>0</v>
      </c>
      <c r="AL14" s="305" t="s">
        <v>109</v>
      </c>
      <c r="AM14" s="305" t="s">
        <v>106</v>
      </c>
      <c r="AN14" s="305">
        <v>0</v>
      </c>
      <c r="AO14" s="305">
        <v>8</v>
      </c>
      <c r="AP14" s="305">
        <v>5</v>
      </c>
      <c r="AQ14" s="305">
        <v>0</v>
      </c>
      <c r="AR14" s="305">
        <v>0</v>
      </c>
      <c r="AS14" s="305">
        <v>3</v>
      </c>
      <c r="AT14" s="305">
        <v>0</v>
      </c>
      <c r="AU14" s="305">
        <v>0</v>
      </c>
      <c r="AV14" s="305">
        <v>0</v>
      </c>
      <c r="AW14" s="305">
        <v>0</v>
      </c>
    </row>
    <row r="15" spans="2:49">
      <c r="B15" s="305">
        <v>11</v>
      </c>
      <c r="C15" s="337">
        <v>2</v>
      </c>
      <c r="D15" s="305">
        <v>0</v>
      </c>
      <c r="E15" s="305">
        <v>0</v>
      </c>
      <c r="F15" s="305">
        <v>0</v>
      </c>
      <c r="G15" s="305">
        <v>0</v>
      </c>
      <c r="H15" s="305">
        <v>0</v>
      </c>
      <c r="I15" s="305">
        <v>0</v>
      </c>
      <c r="J15" s="305">
        <v>0</v>
      </c>
      <c r="L15" s="441" t="s">
        <v>110</v>
      </c>
      <c r="M15" s="305" t="s">
        <v>106</v>
      </c>
      <c r="N15" s="216">
        <v>0</v>
      </c>
      <c r="O15" s="216">
        <v>10</v>
      </c>
      <c r="P15" s="216">
        <v>18</v>
      </c>
      <c r="Q15" s="305">
        <v>0</v>
      </c>
      <c r="R15" s="305">
        <v>0</v>
      </c>
      <c r="S15" s="305">
        <v>0</v>
      </c>
      <c r="T15" s="305">
        <v>0</v>
      </c>
      <c r="U15" s="305">
        <v>0</v>
      </c>
      <c r="V15" s="305">
        <v>0</v>
      </c>
      <c r="W15" s="305">
        <v>0</v>
      </c>
      <c r="Y15" s="305" t="s">
        <v>110</v>
      </c>
      <c r="Z15" s="305" t="s">
        <v>106</v>
      </c>
      <c r="AA15" s="201">
        <v>0</v>
      </c>
      <c r="AB15" s="201">
        <v>58</v>
      </c>
      <c r="AC15" s="201">
        <v>76</v>
      </c>
      <c r="AD15" s="305">
        <v>0</v>
      </c>
      <c r="AE15" s="305">
        <v>0</v>
      </c>
      <c r="AF15" s="305">
        <v>54</v>
      </c>
      <c r="AG15" s="305">
        <v>0</v>
      </c>
      <c r="AH15" s="305">
        <v>0</v>
      </c>
      <c r="AI15" s="305">
        <v>0</v>
      </c>
      <c r="AJ15" s="305">
        <v>0</v>
      </c>
      <c r="AL15" s="305" t="s">
        <v>110</v>
      </c>
      <c r="AM15" s="305" t="s">
        <v>106</v>
      </c>
      <c r="AN15" s="305">
        <v>0</v>
      </c>
      <c r="AO15" s="305">
        <v>31</v>
      </c>
      <c r="AP15" s="305">
        <v>18</v>
      </c>
      <c r="AQ15" s="305">
        <v>0</v>
      </c>
      <c r="AR15" s="305">
        <v>0</v>
      </c>
      <c r="AS15" s="305">
        <v>15</v>
      </c>
      <c r="AT15" s="305">
        <v>0</v>
      </c>
      <c r="AU15" s="305">
        <v>0</v>
      </c>
      <c r="AV15" s="305">
        <v>0</v>
      </c>
      <c r="AW15" s="305">
        <v>0</v>
      </c>
    </row>
    <row r="16" spans="2:49">
      <c r="B16" s="305">
        <v>12</v>
      </c>
      <c r="C16" s="337">
        <v>2</v>
      </c>
      <c r="D16" s="305">
        <v>0</v>
      </c>
      <c r="E16" s="305">
        <v>1</v>
      </c>
      <c r="F16" s="305">
        <v>1</v>
      </c>
      <c r="G16" s="305">
        <v>1</v>
      </c>
      <c r="H16" s="305">
        <v>1</v>
      </c>
      <c r="I16" s="305">
        <v>0</v>
      </c>
      <c r="J16" s="305">
        <v>0</v>
      </c>
      <c r="L16" s="441" t="s">
        <v>111</v>
      </c>
      <c r="M16" s="305" t="s">
        <v>106</v>
      </c>
      <c r="N16" s="216">
        <v>0</v>
      </c>
      <c r="O16" s="216">
        <v>13</v>
      </c>
      <c r="P16" s="216">
        <v>21</v>
      </c>
      <c r="Q16" s="305">
        <v>0</v>
      </c>
      <c r="R16" s="305">
        <v>0</v>
      </c>
      <c r="S16" s="305">
        <v>0</v>
      </c>
      <c r="T16" s="305">
        <v>0</v>
      </c>
      <c r="U16" s="305">
        <v>0</v>
      </c>
      <c r="V16" s="305">
        <v>0</v>
      </c>
      <c r="W16" s="305">
        <v>0</v>
      </c>
      <c r="Y16" s="305" t="s">
        <v>111</v>
      </c>
      <c r="Z16" s="305" t="s">
        <v>106</v>
      </c>
      <c r="AA16" s="201">
        <v>0</v>
      </c>
      <c r="AB16" s="201">
        <v>111</v>
      </c>
      <c r="AC16" s="201">
        <v>277</v>
      </c>
      <c r="AD16" s="305">
        <v>36</v>
      </c>
      <c r="AE16" s="305">
        <v>0</v>
      </c>
      <c r="AF16" s="305">
        <v>0</v>
      </c>
      <c r="AG16" s="305">
        <v>0</v>
      </c>
      <c r="AH16" s="305">
        <v>0</v>
      </c>
      <c r="AI16" s="305">
        <v>0</v>
      </c>
      <c r="AJ16" s="305">
        <v>0</v>
      </c>
      <c r="AL16" s="305" t="s">
        <v>111</v>
      </c>
      <c r="AM16" s="305" t="s">
        <v>106</v>
      </c>
      <c r="AN16" s="305">
        <v>0</v>
      </c>
      <c r="AO16" s="305">
        <v>68</v>
      </c>
      <c r="AP16" s="305">
        <v>37</v>
      </c>
      <c r="AQ16" s="305">
        <v>1</v>
      </c>
      <c r="AR16" s="305">
        <v>0</v>
      </c>
      <c r="AS16" s="305">
        <v>31</v>
      </c>
      <c r="AT16" s="305">
        <v>0</v>
      </c>
      <c r="AU16" s="305">
        <v>0</v>
      </c>
      <c r="AV16" s="305">
        <v>7</v>
      </c>
      <c r="AW16" s="305">
        <v>0</v>
      </c>
    </row>
    <row r="17" spans="2:49">
      <c r="B17" s="305">
        <v>13</v>
      </c>
      <c r="C17" s="337">
        <v>2</v>
      </c>
      <c r="D17" s="305">
        <v>0</v>
      </c>
      <c r="E17" s="305">
        <v>0</v>
      </c>
      <c r="F17" s="305">
        <v>0</v>
      </c>
      <c r="G17" s="305">
        <v>0</v>
      </c>
      <c r="H17" s="305">
        <v>0</v>
      </c>
      <c r="I17" s="305">
        <v>0</v>
      </c>
      <c r="J17" s="305">
        <v>0</v>
      </c>
      <c r="L17" s="337" t="s">
        <v>746</v>
      </c>
      <c r="M17" s="337" t="s">
        <v>106</v>
      </c>
      <c r="N17" s="216">
        <v>1</v>
      </c>
      <c r="O17" s="216">
        <v>1</v>
      </c>
      <c r="P17" s="216">
        <v>1</v>
      </c>
      <c r="Q17" s="337">
        <v>1</v>
      </c>
      <c r="R17" s="337">
        <v>1</v>
      </c>
      <c r="S17" s="337">
        <v>1</v>
      </c>
      <c r="T17" s="337">
        <v>1</v>
      </c>
      <c r="U17" s="337">
        <v>1</v>
      </c>
      <c r="V17" s="337">
        <v>1</v>
      </c>
      <c r="W17" s="337">
        <v>1</v>
      </c>
      <c r="Y17" s="337" t="s">
        <v>747</v>
      </c>
      <c r="Z17" s="337" t="s">
        <v>106</v>
      </c>
      <c r="AA17" s="201">
        <v>1</v>
      </c>
      <c r="AB17" s="201">
        <v>1</v>
      </c>
      <c r="AC17" s="201">
        <v>1</v>
      </c>
      <c r="AD17" s="337">
        <v>1</v>
      </c>
      <c r="AE17" s="337">
        <v>1</v>
      </c>
      <c r="AF17" s="337">
        <v>1</v>
      </c>
      <c r="AG17" s="337">
        <v>1</v>
      </c>
      <c r="AH17" s="337">
        <v>1</v>
      </c>
      <c r="AI17" s="337">
        <v>1</v>
      </c>
      <c r="AJ17" s="337">
        <v>1</v>
      </c>
      <c r="AL17" s="337" t="s">
        <v>746</v>
      </c>
      <c r="AM17" s="337">
        <v>1</v>
      </c>
      <c r="AN17" s="337">
        <v>1</v>
      </c>
      <c r="AO17" s="337">
        <v>1</v>
      </c>
      <c r="AP17" s="337">
        <v>1</v>
      </c>
      <c r="AQ17" s="337">
        <v>1</v>
      </c>
      <c r="AR17" s="337">
        <v>1</v>
      </c>
      <c r="AS17" s="337">
        <v>1</v>
      </c>
      <c r="AT17" s="337">
        <v>1</v>
      </c>
      <c r="AU17" s="337">
        <v>1</v>
      </c>
      <c r="AV17" s="337">
        <v>1</v>
      </c>
      <c r="AW17" s="337">
        <v>1</v>
      </c>
    </row>
    <row r="18" spans="2:49">
      <c r="B18" s="305">
        <v>14</v>
      </c>
      <c r="C18" s="337">
        <v>2</v>
      </c>
      <c r="D18" s="305">
        <v>0</v>
      </c>
      <c r="E18" s="305">
        <v>1</v>
      </c>
      <c r="F18" s="305">
        <v>0</v>
      </c>
      <c r="G18" s="305">
        <v>0</v>
      </c>
      <c r="H18" s="305">
        <v>0</v>
      </c>
      <c r="I18" s="305">
        <v>0</v>
      </c>
      <c r="J18" s="305">
        <v>0</v>
      </c>
      <c r="L18" s="305" t="s">
        <v>112</v>
      </c>
      <c r="M18" s="305" t="s">
        <v>106</v>
      </c>
      <c r="N18" s="216">
        <v>0</v>
      </c>
      <c r="O18" s="216">
        <v>0</v>
      </c>
      <c r="P18" s="216">
        <v>70</v>
      </c>
      <c r="Q18" s="305">
        <v>0</v>
      </c>
      <c r="R18" s="305">
        <v>0</v>
      </c>
      <c r="S18" s="305">
        <v>2</v>
      </c>
      <c r="T18" s="305">
        <v>0</v>
      </c>
      <c r="U18" s="305">
        <v>0</v>
      </c>
      <c r="V18" s="305">
        <v>16</v>
      </c>
      <c r="W18" s="305">
        <v>0</v>
      </c>
      <c r="Y18" s="305" t="s">
        <v>112</v>
      </c>
      <c r="Z18" s="305" t="s">
        <v>106</v>
      </c>
      <c r="AA18" s="201">
        <v>0</v>
      </c>
      <c r="AB18" s="201">
        <v>0</v>
      </c>
      <c r="AC18" s="201">
        <v>756</v>
      </c>
      <c r="AD18" s="305">
        <v>0</v>
      </c>
      <c r="AE18" s="305">
        <v>0</v>
      </c>
      <c r="AF18" s="305">
        <v>95</v>
      </c>
      <c r="AG18" s="305">
        <v>0</v>
      </c>
      <c r="AH18" s="305">
        <v>0</v>
      </c>
      <c r="AI18" s="305">
        <v>0</v>
      </c>
      <c r="AJ18" s="305">
        <v>0</v>
      </c>
      <c r="AL18" s="305" t="s">
        <v>112</v>
      </c>
      <c r="AM18" s="305" t="s">
        <v>106</v>
      </c>
      <c r="AN18" s="305">
        <v>0</v>
      </c>
      <c r="AO18" s="305">
        <v>0</v>
      </c>
      <c r="AP18" s="305">
        <v>9</v>
      </c>
      <c r="AQ18" s="305">
        <v>0</v>
      </c>
      <c r="AR18" s="305">
        <v>0</v>
      </c>
      <c r="AS18" s="305">
        <v>4</v>
      </c>
      <c r="AT18" s="305">
        <v>0</v>
      </c>
      <c r="AU18" s="305">
        <v>0</v>
      </c>
      <c r="AV18" s="305">
        <v>3</v>
      </c>
      <c r="AW18" s="305">
        <v>0</v>
      </c>
    </row>
    <row r="19" spans="2:49">
      <c r="B19" s="305">
        <v>15</v>
      </c>
      <c r="C19" s="337">
        <v>2</v>
      </c>
      <c r="D19" s="305">
        <v>1</v>
      </c>
      <c r="E19" s="305">
        <v>0</v>
      </c>
      <c r="F19" s="305">
        <v>1</v>
      </c>
      <c r="G19" s="305">
        <v>0</v>
      </c>
      <c r="H19" s="305">
        <v>0</v>
      </c>
      <c r="I19" s="305">
        <v>0</v>
      </c>
      <c r="J19" s="305">
        <v>0</v>
      </c>
      <c r="L19" s="305" t="s">
        <v>113</v>
      </c>
      <c r="M19" s="305" t="s">
        <v>106</v>
      </c>
      <c r="N19" s="216">
        <v>0</v>
      </c>
      <c r="O19" s="216">
        <v>0</v>
      </c>
      <c r="P19" s="216">
        <v>70</v>
      </c>
      <c r="Q19" s="305">
        <v>0</v>
      </c>
      <c r="R19" s="305">
        <v>0</v>
      </c>
      <c r="S19" s="305">
        <v>0</v>
      </c>
      <c r="T19" s="305">
        <v>0</v>
      </c>
      <c r="U19" s="305">
        <v>0</v>
      </c>
      <c r="V19" s="305">
        <v>0</v>
      </c>
      <c r="W19" s="305">
        <v>0</v>
      </c>
      <c r="Y19" s="305" t="s">
        <v>113</v>
      </c>
      <c r="Z19" s="305" t="s">
        <v>106</v>
      </c>
      <c r="AA19" s="201">
        <v>0</v>
      </c>
      <c r="AB19" s="201">
        <v>0</v>
      </c>
      <c r="AC19" s="201">
        <v>512</v>
      </c>
      <c r="AD19" s="305">
        <v>0</v>
      </c>
      <c r="AE19" s="305">
        <v>0</v>
      </c>
      <c r="AF19" s="305">
        <v>0</v>
      </c>
      <c r="AG19" s="305">
        <v>0</v>
      </c>
      <c r="AH19" s="305">
        <v>0</v>
      </c>
      <c r="AI19" s="305">
        <v>0</v>
      </c>
      <c r="AJ19" s="305">
        <v>0</v>
      </c>
      <c r="AL19" s="305" t="s">
        <v>113</v>
      </c>
      <c r="AM19" s="305" t="s">
        <v>106</v>
      </c>
      <c r="AN19" s="305">
        <v>0</v>
      </c>
      <c r="AO19" s="305">
        <v>0</v>
      </c>
      <c r="AP19" s="305">
        <v>3</v>
      </c>
      <c r="AQ19" s="305">
        <v>0</v>
      </c>
      <c r="AR19" s="305">
        <v>0</v>
      </c>
      <c r="AS19" s="305">
        <v>0</v>
      </c>
      <c r="AT19" s="305">
        <v>0</v>
      </c>
      <c r="AU19" s="305">
        <v>0</v>
      </c>
      <c r="AV19" s="305">
        <v>0</v>
      </c>
      <c r="AW19" s="305">
        <v>0</v>
      </c>
    </row>
    <row r="20" spans="2:49">
      <c r="B20" s="305">
        <v>16</v>
      </c>
      <c r="C20" s="337">
        <v>2</v>
      </c>
      <c r="D20" s="305">
        <v>0</v>
      </c>
      <c r="E20" s="305">
        <v>1</v>
      </c>
      <c r="F20" s="305">
        <v>0</v>
      </c>
      <c r="G20" s="305">
        <v>1</v>
      </c>
      <c r="H20" s="305">
        <v>0</v>
      </c>
      <c r="I20" s="305">
        <v>0</v>
      </c>
      <c r="J20" s="305">
        <v>0</v>
      </c>
      <c r="L20" s="305" t="s">
        <v>115</v>
      </c>
      <c r="M20" s="305" t="s">
        <v>114</v>
      </c>
      <c r="N20" s="216">
        <v>10</v>
      </c>
      <c r="O20" s="216">
        <v>18.5</v>
      </c>
      <c r="P20" s="216">
        <v>26</v>
      </c>
      <c r="Q20" s="305">
        <v>0</v>
      </c>
      <c r="R20" s="305">
        <v>0</v>
      </c>
      <c r="S20" s="305">
        <v>0</v>
      </c>
      <c r="T20" s="305">
        <v>1.5</v>
      </c>
      <c r="U20" s="305">
        <v>0</v>
      </c>
      <c r="V20" s="305">
        <v>5</v>
      </c>
      <c r="W20" s="305">
        <v>0</v>
      </c>
      <c r="Y20" s="305" t="s">
        <v>115</v>
      </c>
      <c r="Z20" s="305" t="s">
        <v>114</v>
      </c>
      <c r="AA20" s="201">
        <v>37</v>
      </c>
      <c r="AB20" s="201">
        <v>110</v>
      </c>
      <c r="AC20" s="201">
        <v>295</v>
      </c>
      <c r="AD20" s="305">
        <v>0</v>
      </c>
      <c r="AE20" s="305">
        <v>0</v>
      </c>
      <c r="AF20" s="305">
        <v>0</v>
      </c>
      <c r="AG20" s="305">
        <v>0</v>
      </c>
      <c r="AH20" s="305">
        <v>0</v>
      </c>
      <c r="AI20" s="305">
        <v>8</v>
      </c>
      <c r="AJ20" s="305">
        <v>0</v>
      </c>
      <c r="AL20" s="305" t="s">
        <v>115</v>
      </c>
      <c r="AM20" s="305" t="s">
        <v>114</v>
      </c>
      <c r="AN20" s="305">
        <v>0</v>
      </c>
      <c r="AO20" s="305">
        <v>99</v>
      </c>
      <c r="AP20" s="305">
        <v>46</v>
      </c>
      <c r="AQ20" s="305">
        <v>19</v>
      </c>
      <c r="AR20" s="305">
        <v>0</v>
      </c>
      <c r="AS20" s="305">
        <v>0</v>
      </c>
      <c r="AT20" s="305">
        <v>21</v>
      </c>
      <c r="AU20" s="305">
        <v>0</v>
      </c>
      <c r="AV20" s="305">
        <v>6</v>
      </c>
      <c r="AW20" s="305">
        <v>0</v>
      </c>
    </row>
    <row r="21" spans="2:49">
      <c r="B21" s="305">
        <v>17</v>
      </c>
      <c r="C21" s="337">
        <v>2</v>
      </c>
      <c r="D21" s="305">
        <v>0</v>
      </c>
      <c r="E21" s="305">
        <v>0</v>
      </c>
      <c r="F21" s="305">
        <v>0</v>
      </c>
      <c r="G21" s="305">
        <v>0</v>
      </c>
      <c r="H21" s="305">
        <v>0</v>
      </c>
      <c r="I21" s="305">
        <v>0</v>
      </c>
      <c r="J21" s="305">
        <v>0</v>
      </c>
      <c r="L21" s="305" t="s">
        <v>116</v>
      </c>
      <c r="M21" s="305" t="s">
        <v>114</v>
      </c>
      <c r="N21" s="216">
        <v>12.5</v>
      </c>
      <c r="O21" s="216">
        <v>25</v>
      </c>
      <c r="P21" s="216">
        <v>31</v>
      </c>
      <c r="Q21" s="305">
        <v>6.5</v>
      </c>
      <c r="R21" s="305">
        <v>0</v>
      </c>
      <c r="S21" s="305">
        <v>0</v>
      </c>
      <c r="T21" s="305">
        <v>12.5</v>
      </c>
      <c r="U21" s="305">
        <v>0</v>
      </c>
      <c r="V21" s="305">
        <v>0</v>
      </c>
      <c r="W21" s="305">
        <v>0</v>
      </c>
      <c r="Y21" s="305" t="s">
        <v>116</v>
      </c>
      <c r="Z21" s="305" t="s">
        <v>114</v>
      </c>
      <c r="AA21" s="201">
        <v>49</v>
      </c>
      <c r="AB21" s="201">
        <v>130</v>
      </c>
      <c r="AC21" s="201">
        <v>410</v>
      </c>
      <c r="AD21" s="305">
        <v>0</v>
      </c>
      <c r="AE21" s="305">
        <v>0</v>
      </c>
      <c r="AF21" s="305">
        <v>0</v>
      </c>
      <c r="AG21" s="305">
        <v>0</v>
      </c>
      <c r="AH21" s="305">
        <v>0</v>
      </c>
      <c r="AI21" s="305">
        <v>0</v>
      </c>
      <c r="AJ21" s="305">
        <v>0</v>
      </c>
      <c r="AL21" s="305" t="s">
        <v>116</v>
      </c>
      <c r="AM21" s="305" t="s">
        <v>114</v>
      </c>
      <c r="AN21" s="305">
        <v>1</v>
      </c>
      <c r="AO21" s="305">
        <v>23</v>
      </c>
      <c r="AP21" s="305">
        <v>18</v>
      </c>
      <c r="AQ21" s="305">
        <v>2</v>
      </c>
      <c r="AR21" s="305">
        <v>0</v>
      </c>
      <c r="AS21" s="305">
        <v>0</v>
      </c>
      <c r="AT21" s="305">
        <v>3</v>
      </c>
      <c r="AU21" s="305">
        <v>0</v>
      </c>
      <c r="AV21" s="305">
        <v>0</v>
      </c>
      <c r="AW21" s="305">
        <v>0</v>
      </c>
    </row>
    <row r="22" spans="2:49">
      <c r="B22" s="305">
        <v>18</v>
      </c>
      <c r="C22" s="337">
        <v>2</v>
      </c>
      <c r="D22" s="305">
        <v>0</v>
      </c>
      <c r="E22" s="305">
        <v>1</v>
      </c>
      <c r="F22" s="305">
        <v>1</v>
      </c>
      <c r="G22" s="305">
        <v>0</v>
      </c>
      <c r="H22" s="305">
        <v>1</v>
      </c>
      <c r="I22" s="305">
        <v>0</v>
      </c>
      <c r="J22" s="305">
        <v>0</v>
      </c>
      <c r="L22" s="305" t="s">
        <v>117</v>
      </c>
      <c r="M22" s="305" t="s">
        <v>114</v>
      </c>
      <c r="N22" s="216">
        <v>10.5</v>
      </c>
      <c r="O22" s="216">
        <v>28</v>
      </c>
      <c r="P22" s="216">
        <v>34</v>
      </c>
      <c r="Q22" s="305">
        <v>0</v>
      </c>
      <c r="R22" s="305">
        <v>0</v>
      </c>
      <c r="S22" s="305">
        <v>0</v>
      </c>
      <c r="T22" s="305">
        <v>2</v>
      </c>
      <c r="U22" s="305">
        <v>0</v>
      </c>
      <c r="V22" s="305">
        <v>0</v>
      </c>
      <c r="W22" s="305">
        <v>0</v>
      </c>
      <c r="Y22" s="305" t="s">
        <v>117</v>
      </c>
      <c r="Z22" s="305" t="s">
        <v>114</v>
      </c>
      <c r="AA22" s="201">
        <v>52</v>
      </c>
      <c r="AB22" s="201">
        <v>138</v>
      </c>
      <c r="AC22" s="201">
        <v>448</v>
      </c>
      <c r="AD22" s="305">
        <v>0</v>
      </c>
      <c r="AE22" s="305">
        <v>0</v>
      </c>
      <c r="AF22" s="305">
        <v>0</v>
      </c>
      <c r="AG22" s="305">
        <v>0</v>
      </c>
      <c r="AH22" s="305">
        <v>0</v>
      </c>
      <c r="AI22" s="305">
        <v>0</v>
      </c>
      <c r="AJ22" s="305">
        <v>0</v>
      </c>
      <c r="AL22" s="305" t="s">
        <v>117</v>
      </c>
      <c r="AM22" s="305" t="s">
        <v>114</v>
      </c>
      <c r="AN22" s="305">
        <v>10</v>
      </c>
      <c r="AO22" s="305">
        <v>31</v>
      </c>
      <c r="AP22" s="305">
        <v>20</v>
      </c>
      <c r="AQ22" s="305">
        <v>4</v>
      </c>
      <c r="AR22" s="305">
        <v>0</v>
      </c>
      <c r="AS22" s="305">
        <v>0</v>
      </c>
      <c r="AT22" s="305">
        <v>9</v>
      </c>
      <c r="AU22" s="305">
        <v>0</v>
      </c>
      <c r="AV22" s="305">
        <v>0</v>
      </c>
      <c r="AW22" s="305">
        <v>0</v>
      </c>
    </row>
    <row r="23" spans="2:49">
      <c r="B23" s="305">
        <v>19</v>
      </c>
      <c r="C23" s="337">
        <v>2</v>
      </c>
      <c r="D23" s="305">
        <v>0</v>
      </c>
      <c r="E23" s="305">
        <v>0</v>
      </c>
      <c r="F23" s="305">
        <v>0</v>
      </c>
      <c r="G23" s="305">
        <v>0</v>
      </c>
      <c r="H23" s="305">
        <v>0</v>
      </c>
      <c r="I23" s="305">
        <v>0</v>
      </c>
      <c r="J23" s="305">
        <v>0</v>
      </c>
      <c r="L23" s="305" t="s">
        <v>118</v>
      </c>
      <c r="M23" s="305" t="s">
        <v>114</v>
      </c>
      <c r="N23" s="216">
        <v>11</v>
      </c>
      <c r="O23" s="216">
        <v>27</v>
      </c>
      <c r="P23" s="216">
        <v>38</v>
      </c>
      <c r="Q23" s="305">
        <v>2.5</v>
      </c>
      <c r="R23" s="305">
        <v>0</v>
      </c>
      <c r="S23" s="305">
        <v>0</v>
      </c>
      <c r="T23" s="305">
        <v>1</v>
      </c>
      <c r="U23" s="305">
        <v>0</v>
      </c>
      <c r="V23" s="305">
        <v>0</v>
      </c>
      <c r="W23" s="305">
        <v>0</v>
      </c>
      <c r="Y23" s="305" t="s">
        <v>118</v>
      </c>
      <c r="Z23" s="305" t="s">
        <v>114</v>
      </c>
      <c r="AA23" s="201">
        <v>51</v>
      </c>
      <c r="AB23" s="201">
        <v>157</v>
      </c>
      <c r="AC23" s="201">
        <v>438</v>
      </c>
      <c r="AD23" s="305">
        <v>2</v>
      </c>
      <c r="AE23" s="305">
        <v>0</v>
      </c>
      <c r="AF23" s="305">
        <v>0</v>
      </c>
      <c r="AG23" s="305">
        <v>0</v>
      </c>
      <c r="AH23" s="305">
        <v>0</v>
      </c>
      <c r="AI23" s="305">
        <v>0</v>
      </c>
      <c r="AJ23" s="305">
        <v>0</v>
      </c>
      <c r="AL23" s="305" t="s">
        <v>118</v>
      </c>
      <c r="AM23" s="305" t="s">
        <v>114</v>
      </c>
      <c r="AN23" s="305">
        <v>329</v>
      </c>
      <c r="AO23" s="305">
        <v>114</v>
      </c>
      <c r="AP23" s="305">
        <v>255</v>
      </c>
      <c r="AQ23" s="305">
        <v>98</v>
      </c>
      <c r="AR23" s="305">
        <v>0</v>
      </c>
      <c r="AS23" s="305">
        <v>0</v>
      </c>
      <c r="AT23" s="305">
        <v>52</v>
      </c>
      <c r="AU23" s="305">
        <v>0</v>
      </c>
      <c r="AV23" s="305">
        <v>0</v>
      </c>
      <c r="AW23" s="305">
        <v>0</v>
      </c>
    </row>
    <row r="24" spans="2:49">
      <c r="B24" s="305">
        <v>20</v>
      </c>
      <c r="C24" s="337">
        <v>2</v>
      </c>
      <c r="D24" s="305">
        <v>1</v>
      </c>
      <c r="E24" s="305">
        <v>1</v>
      </c>
      <c r="F24" s="305">
        <v>0</v>
      </c>
      <c r="G24" s="305">
        <v>1</v>
      </c>
      <c r="H24" s="305">
        <v>0</v>
      </c>
      <c r="I24" s="305">
        <v>1</v>
      </c>
      <c r="J24" s="305">
        <v>1</v>
      </c>
      <c r="L24" s="305" t="s">
        <v>119</v>
      </c>
      <c r="M24" s="305" t="s">
        <v>114</v>
      </c>
      <c r="N24" s="216">
        <v>12</v>
      </c>
      <c r="O24" s="216">
        <v>27</v>
      </c>
      <c r="P24" s="216">
        <v>39</v>
      </c>
      <c r="Q24" s="305">
        <v>3</v>
      </c>
      <c r="R24" s="305">
        <v>0</v>
      </c>
      <c r="S24" s="305">
        <v>0</v>
      </c>
      <c r="T24" s="305">
        <v>0</v>
      </c>
      <c r="U24" s="305">
        <v>0</v>
      </c>
      <c r="V24" s="305">
        <v>0</v>
      </c>
      <c r="W24" s="305">
        <v>0</v>
      </c>
      <c r="Y24" s="305" t="s">
        <v>119</v>
      </c>
      <c r="Z24" s="305" t="s">
        <v>114</v>
      </c>
      <c r="AA24" s="201">
        <v>57</v>
      </c>
      <c r="AB24" s="201">
        <v>199</v>
      </c>
      <c r="AC24" s="201">
        <v>512</v>
      </c>
      <c r="AD24" s="305">
        <v>0</v>
      </c>
      <c r="AE24" s="305">
        <v>0</v>
      </c>
      <c r="AF24" s="305">
        <v>0</v>
      </c>
      <c r="AG24" s="305">
        <v>38</v>
      </c>
      <c r="AH24" s="305">
        <v>0</v>
      </c>
      <c r="AI24" s="305">
        <v>0</v>
      </c>
      <c r="AJ24" s="305">
        <v>0</v>
      </c>
      <c r="AL24" s="305" t="s">
        <v>119</v>
      </c>
      <c r="AM24" s="305" t="s">
        <v>114</v>
      </c>
      <c r="AN24" s="305">
        <v>247</v>
      </c>
      <c r="AO24" s="305">
        <v>453</v>
      </c>
      <c r="AP24" s="305">
        <v>248</v>
      </c>
      <c r="AQ24" s="305">
        <v>90</v>
      </c>
      <c r="AR24" s="305">
        <v>0</v>
      </c>
      <c r="AS24" s="305">
        <v>0</v>
      </c>
      <c r="AT24" s="305">
        <v>104</v>
      </c>
      <c r="AU24" s="305">
        <v>0</v>
      </c>
      <c r="AV24" s="305">
        <v>0</v>
      </c>
      <c r="AW24" s="305">
        <v>1</v>
      </c>
    </row>
    <row r="25" spans="2:49">
      <c r="B25" s="337">
        <v>21</v>
      </c>
      <c r="C25" s="337">
        <v>2</v>
      </c>
      <c r="D25" s="337">
        <v>0</v>
      </c>
      <c r="E25" s="337">
        <v>0</v>
      </c>
      <c r="F25" s="337">
        <v>1</v>
      </c>
      <c r="G25" s="337">
        <v>0</v>
      </c>
      <c r="H25" s="337">
        <v>0</v>
      </c>
      <c r="I25" s="337">
        <v>0</v>
      </c>
      <c r="J25" s="337">
        <v>0</v>
      </c>
      <c r="L25" s="305" t="s">
        <v>120</v>
      </c>
      <c r="M25" s="305" t="s">
        <v>114</v>
      </c>
      <c r="N25" s="216">
        <v>0</v>
      </c>
      <c r="O25" s="216">
        <v>29.5</v>
      </c>
      <c r="P25" s="216">
        <v>39.5</v>
      </c>
      <c r="Q25" s="305">
        <v>4.5</v>
      </c>
      <c r="R25" s="305">
        <v>0</v>
      </c>
      <c r="S25" s="305">
        <v>0</v>
      </c>
      <c r="T25" s="305">
        <v>0</v>
      </c>
      <c r="U25" s="305">
        <v>0</v>
      </c>
      <c r="V25" s="305">
        <v>0</v>
      </c>
      <c r="W25" s="305">
        <v>0</v>
      </c>
      <c r="Y25" s="305" t="s">
        <v>120</v>
      </c>
      <c r="Z25" s="305" t="s">
        <v>114</v>
      </c>
      <c r="AA25" s="201">
        <v>0</v>
      </c>
      <c r="AB25" s="201">
        <v>169</v>
      </c>
      <c r="AC25" s="201">
        <v>629</v>
      </c>
      <c r="AD25" s="305">
        <v>0</v>
      </c>
      <c r="AE25" s="305">
        <v>171</v>
      </c>
      <c r="AF25" s="305">
        <v>0</v>
      </c>
      <c r="AG25" s="305">
        <v>0</v>
      </c>
      <c r="AH25" s="305">
        <v>0</v>
      </c>
      <c r="AI25" s="305">
        <v>0</v>
      </c>
      <c r="AJ25" s="305">
        <v>0</v>
      </c>
      <c r="AL25" s="305" t="s">
        <v>120</v>
      </c>
      <c r="AM25" s="305" t="s">
        <v>114</v>
      </c>
      <c r="AN25" s="305">
        <v>0</v>
      </c>
      <c r="AO25" s="305">
        <v>43</v>
      </c>
      <c r="AP25" s="305">
        <v>29</v>
      </c>
      <c r="AQ25" s="305">
        <v>4</v>
      </c>
      <c r="AR25" s="305">
        <v>13</v>
      </c>
      <c r="AS25" s="305">
        <v>0</v>
      </c>
      <c r="AT25" s="305">
        <v>0</v>
      </c>
      <c r="AU25" s="305">
        <v>0</v>
      </c>
      <c r="AV25" s="305">
        <v>0</v>
      </c>
      <c r="AW25" s="305">
        <v>0</v>
      </c>
    </row>
    <row r="26" spans="2:49">
      <c r="B26" s="431">
        <v>22</v>
      </c>
      <c r="C26" s="337">
        <v>2</v>
      </c>
      <c r="D26" s="431">
        <v>0</v>
      </c>
      <c r="E26" s="431">
        <v>1</v>
      </c>
      <c r="F26" s="431">
        <v>0</v>
      </c>
      <c r="G26" s="431">
        <v>0</v>
      </c>
      <c r="H26" s="431">
        <v>0</v>
      </c>
      <c r="I26" s="431">
        <v>0</v>
      </c>
      <c r="J26" s="431">
        <v>0</v>
      </c>
      <c r="L26" s="305" t="s">
        <v>121</v>
      </c>
      <c r="M26" s="305" t="s">
        <v>114</v>
      </c>
      <c r="N26" s="216">
        <v>0</v>
      </c>
      <c r="O26" s="216">
        <v>30</v>
      </c>
      <c r="P26" s="216">
        <v>42.5</v>
      </c>
      <c r="Q26" s="305">
        <v>29</v>
      </c>
      <c r="R26" s="305">
        <v>9.5</v>
      </c>
      <c r="S26" s="305">
        <v>0</v>
      </c>
      <c r="T26" s="305">
        <v>1.5</v>
      </c>
      <c r="U26" s="305">
        <v>0</v>
      </c>
      <c r="V26" s="305">
        <v>0</v>
      </c>
      <c r="W26" s="305">
        <v>0</v>
      </c>
      <c r="Y26" s="305" t="s">
        <v>121</v>
      </c>
      <c r="Z26" s="305" t="s">
        <v>114</v>
      </c>
      <c r="AA26" s="201">
        <v>0</v>
      </c>
      <c r="AB26" s="201">
        <v>161</v>
      </c>
      <c r="AC26" s="201">
        <v>339</v>
      </c>
      <c r="AD26" s="305">
        <v>2135</v>
      </c>
      <c r="AE26" s="305">
        <v>675</v>
      </c>
      <c r="AF26" s="305">
        <v>0</v>
      </c>
      <c r="AG26" s="305">
        <v>490</v>
      </c>
      <c r="AH26" s="305">
        <v>0</v>
      </c>
      <c r="AI26" s="305">
        <v>0</v>
      </c>
      <c r="AJ26" s="305">
        <v>0</v>
      </c>
      <c r="AL26" s="305" t="s">
        <v>121</v>
      </c>
      <c r="AM26" s="305" t="s">
        <v>114</v>
      </c>
      <c r="AN26" s="305">
        <v>0</v>
      </c>
      <c r="AO26" s="305">
        <v>16</v>
      </c>
      <c r="AP26" s="305">
        <v>12</v>
      </c>
      <c r="AQ26" s="305">
        <v>1</v>
      </c>
      <c r="AR26" s="305">
        <v>1</v>
      </c>
      <c r="AS26" s="305">
        <v>0</v>
      </c>
      <c r="AT26" s="305">
        <v>4</v>
      </c>
      <c r="AU26" s="305">
        <v>0</v>
      </c>
      <c r="AV26" s="305">
        <v>0</v>
      </c>
      <c r="AW26" s="305">
        <v>0</v>
      </c>
    </row>
    <row r="27" spans="2:49">
      <c r="B27" s="430">
        <v>23</v>
      </c>
      <c r="C27" s="337">
        <v>2</v>
      </c>
      <c r="D27" s="430">
        <v>0</v>
      </c>
      <c r="E27" s="430">
        <v>0</v>
      </c>
      <c r="F27" s="430">
        <v>0</v>
      </c>
      <c r="G27" s="430">
        <v>0</v>
      </c>
      <c r="H27" s="430">
        <v>0</v>
      </c>
      <c r="I27" s="430">
        <v>0</v>
      </c>
      <c r="J27" s="430">
        <v>0</v>
      </c>
      <c r="L27" s="305" t="s">
        <v>123</v>
      </c>
      <c r="M27" s="305" t="s">
        <v>122</v>
      </c>
      <c r="N27" s="305">
        <v>0</v>
      </c>
      <c r="O27" s="305">
        <v>42</v>
      </c>
      <c r="P27" s="305">
        <v>69</v>
      </c>
      <c r="Q27" s="305">
        <v>16</v>
      </c>
      <c r="R27" s="305">
        <v>31</v>
      </c>
      <c r="S27" s="305">
        <v>10</v>
      </c>
      <c r="T27" s="305">
        <v>6</v>
      </c>
      <c r="U27" s="305">
        <v>4</v>
      </c>
      <c r="V27" s="305">
        <v>27</v>
      </c>
      <c r="W27" s="305">
        <v>0</v>
      </c>
      <c r="Y27" s="305" t="s">
        <v>123</v>
      </c>
      <c r="Z27" s="305" t="s">
        <v>122</v>
      </c>
      <c r="AA27" s="305">
        <v>0</v>
      </c>
      <c r="AB27" s="337">
        <v>852</v>
      </c>
      <c r="AC27" s="337">
        <v>3852</v>
      </c>
      <c r="AD27" s="337">
        <v>1100</v>
      </c>
      <c r="AE27" s="337">
        <v>0</v>
      </c>
      <c r="AF27" s="337">
        <v>9250</v>
      </c>
      <c r="AG27" s="337">
        <v>0</v>
      </c>
      <c r="AH27" s="337">
        <v>1300</v>
      </c>
      <c r="AI27" s="337">
        <v>6850</v>
      </c>
      <c r="AJ27" s="337">
        <v>0</v>
      </c>
      <c r="AL27" s="305" t="s">
        <v>123</v>
      </c>
      <c r="AM27" s="305" t="s">
        <v>122</v>
      </c>
      <c r="AN27" s="305">
        <v>0</v>
      </c>
      <c r="AO27" s="305">
        <v>0</v>
      </c>
      <c r="AP27" s="305">
        <v>0</v>
      </c>
      <c r="AQ27" s="305">
        <v>0</v>
      </c>
      <c r="AR27" s="305">
        <v>0</v>
      </c>
      <c r="AS27" s="305">
        <v>0</v>
      </c>
      <c r="AT27" s="305">
        <v>0</v>
      </c>
      <c r="AU27" s="305">
        <v>0</v>
      </c>
      <c r="AV27" s="305">
        <v>0</v>
      </c>
      <c r="AW27" s="305">
        <v>0</v>
      </c>
    </row>
    <row r="28" spans="2:49">
      <c r="B28" s="430">
        <v>24</v>
      </c>
      <c r="C28" s="337">
        <v>2</v>
      </c>
      <c r="D28" s="430">
        <v>0</v>
      </c>
      <c r="E28" s="430">
        <v>1</v>
      </c>
      <c r="F28" s="430">
        <v>1</v>
      </c>
      <c r="G28" s="430">
        <v>1</v>
      </c>
      <c r="H28" s="430">
        <v>1</v>
      </c>
      <c r="I28" s="430">
        <v>0</v>
      </c>
      <c r="J28" s="430">
        <v>0</v>
      </c>
      <c r="L28" s="305" t="s">
        <v>124</v>
      </c>
      <c r="M28" s="305" t="s">
        <v>122</v>
      </c>
      <c r="N28" s="305">
        <v>0</v>
      </c>
      <c r="O28" s="337">
        <v>42</v>
      </c>
      <c r="P28" s="337">
        <v>69</v>
      </c>
      <c r="Q28" s="305">
        <v>16</v>
      </c>
      <c r="R28" s="305">
        <v>31</v>
      </c>
      <c r="S28" s="305">
        <v>10</v>
      </c>
      <c r="T28" s="305">
        <v>6</v>
      </c>
      <c r="U28" s="305">
        <v>4</v>
      </c>
      <c r="V28" s="305">
        <v>27</v>
      </c>
      <c r="W28" s="305">
        <v>0</v>
      </c>
      <c r="Y28" s="305" t="s">
        <v>124</v>
      </c>
      <c r="Z28" s="305" t="s">
        <v>122</v>
      </c>
      <c r="AA28" s="305">
        <v>0</v>
      </c>
      <c r="AB28" s="337">
        <v>852</v>
      </c>
      <c r="AC28" s="337">
        <v>3852</v>
      </c>
      <c r="AD28" s="337">
        <v>1100</v>
      </c>
      <c r="AE28" s="337">
        <v>0</v>
      </c>
      <c r="AF28" s="337">
        <v>9250</v>
      </c>
      <c r="AG28" s="337">
        <v>0</v>
      </c>
      <c r="AH28" s="337">
        <v>1300</v>
      </c>
      <c r="AI28" s="337">
        <v>6850</v>
      </c>
      <c r="AJ28" s="337">
        <v>0</v>
      </c>
      <c r="AL28" s="305" t="s">
        <v>124</v>
      </c>
      <c r="AM28" s="305" t="s">
        <v>122</v>
      </c>
      <c r="AN28" s="305">
        <v>0</v>
      </c>
      <c r="AO28" s="305">
        <v>0</v>
      </c>
      <c r="AP28" s="305">
        <v>0</v>
      </c>
      <c r="AQ28" s="305">
        <v>0</v>
      </c>
      <c r="AR28" s="305">
        <v>0</v>
      </c>
      <c r="AS28" s="305">
        <v>0</v>
      </c>
      <c r="AT28" s="305">
        <v>0</v>
      </c>
      <c r="AU28" s="305">
        <v>0</v>
      </c>
      <c r="AV28" s="305">
        <v>0</v>
      </c>
      <c r="AW28" s="305">
        <v>0</v>
      </c>
    </row>
    <row r="29" spans="2:49">
      <c r="B29" s="430">
        <v>25</v>
      </c>
      <c r="C29" s="337">
        <v>2</v>
      </c>
      <c r="D29" s="430">
        <v>1</v>
      </c>
      <c r="E29" s="430">
        <v>0</v>
      </c>
      <c r="F29" s="430">
        <v>0</v>
      </c>
      <c r="G29" s="430">
        <v>0</v>
      </c>
      <c r="H29" s="430">
        <v>0</v>
      </c>
      <c r="I29" s="430">
        <v>0</v>
      </c>
      <c r="J29" s="430">
        <v>0</v>
      </c>
      <c r="L29" s="305" t="s">
        <v>125</v>
      </c>
      <c r="M29" s="305" t="s">
        <v>122</v>
      </c>
      <c r="N29" s="305">
        <v>0</v>
      </c>
      <c r="O29" s="337">
        <v>42</v>
      </c>
      <c r="P29" s="337">
        <v>69</v>
      </c>
      <c r="Q29" s="305">
        <v>16</v>
      </c>
      <c r="R29" s="305">
        <v>31</v>
      </c>
      <c r="S29" s="305">
        <v>10</v>
      </c>
      <c r="T29" s="305">
        <v>6</v>
      </c>
      <c r="U29" s="305">
        <v>4</v>
      </c>
      <c r="V29" s="305">
        <v>27</v>
      </c>
      <c r="W29" s="305">
        <v>0</v>
      </c>
      <c r="Y29" s="305" t="s">
        <v>125</v>
      </c>
      <c r="Z29" s="305" t="s">
        <v>122</v>
      </c>
      <c r="AA29" s="305">
        <v>0</v>
      </c>
      <c r="AB29" s="337">
        <v>852</v>
      </c>
      <c r="AC29" s="337">
        <v>3852</v>
      </c>
      <c r="AD29" s="337">
        <v>1100</v>
      </c>
      <c r="AE29" s="337">
        <v>0</v>
      </c>
      <c r="AF29" s="337">
        <v>9250</v>
      </c>
      <c r="AG29" s="337">
        <v>0</v>
      </c>
      <c r="AH29" s="337">
        <v>1300</v>
      </c>
      <c r="AI29" s="337">
        <v>6850</v>
      </c>
      <c r="AJ29" s="337">
        <v>0</v>
      </c>
      <c r="AL29" s="305" t="s">
        <v>125</v>
      </c>
      <c r="AM29" s="305" t="s">
        <v>122</v>
      </c>
      <c r="AN29" s="305">
        <v>0</v>
      </c>
      <c r="AO29" s="305">
        <v>0</v>
      </c>
      <c r="AP29" s="305">
        <v>0</v>
      </c>
      <c r="AQ29" s="305">
        <v>0</v>
      </c>
      <c r="AR29" s="305">
        <v>0</v>
      </c>
      <c r="AS29" s="305">
        <v>0</v>
      </c>
      <c r="AT29" s="305">
        <v>0</v>
      </c>
      <c r="AU29" s="305">
        <v>0</v>
      </c>
      <c r="AV29" s="305">
        <v>0</v>
      </c>
      <c r="AW29" s="305">
        <v>0</v>
      </c>
    </row>
    <row r="30" spans="2:49">
      <c r="B30" s="179">
        <v>26</v>
      </c>
      <c r="C30" s="337">
        <v>2</v>
      </c>
      <c r="D30" s="179">
        <v>0</v>
      </c>
      <c r="E30" s="179">
        <v>1</v>
      </c>
      <c r="F30" s="179">
        <v>0</v>
      </c>
      <c r="G30" s="179">
        <v>0</v>
      </c>
      <c r="H30" s="179">
        <v>0</v>
      </c>
      <c r="I30" s="179">
        <v>0</v>
      </c>
      <c r="J30" s="179">
        <v>0</v>
      </c>
      <c r="L30" s="305" t="s">
        <v>126</v>
      </c>
      <c r="M30" s="305" t="s">
        <v>122</v>
      </c>
      <c r="N30" s="305">
        <v>0</v>
      </c>
      <c r="O30" s="337">
        <v>42</v>
      </c>
      <c r="P30" s="337">
        <v>69</v>
      </c>
      <c r="Q30" s="305">
        <v>16</v>
      </c>
      <c r="R30" s="305">
        <v>31</v>
      </c>
      <c r="S30" s="305">
        <v>10</v>
      </c>
      <c r="T30" s="305">
        <v>6</v>
      </c>
      <c r="U30" s="305">
        <v>4</v>
      </c>
      <c r="V30" s="305">
        <v>27</v>
      </c>
      <c r="W30" s="305">
        <v>0</v>
      </c>
      <c r="Y30" s="305" t="s">
        <v>126</v>
      </c>
      <c r="Z30" s="305" t="s">
        <v>122</v>
      </c>
      <c r="AA30" s="305">
        <v>0</v>
      </c>
      <c r="AB30" s="337">
        <v>852</v>
      </c>
      <c r="AC30" s="337">
        <v>3852</v>
      </c>
      <c r="AD30" s="337">
        <v>1100</v>
      </c>
      <c r="AE30" s="337">
        <v>0</v>
      </c>
      <c r="AF30" s="337">
        <v>9250</v>
      </c>
      <c r="AG30" s="337">
        <v>0</v>
      </c>
      <c r="AH30" s="337">
        <v>1300</v>
      </c>
      <c r="AI30" s="337">
        <v>6850</v>
      </c>
      <c r="AJ30" s="337">
        <v>0</v>
      </c>
      <c r="AL30" s="305" t="s">
        <v>126</v>
      </c>
      <c r="AM30" s="305" t="s">
        <v>122</v>
      </c>
      <c r="AN30" s="305">
        <v>0</v>
      </c>
      <c r="AO30" s="305">
        <v>0</v>
      </c>
      <c r="AP30" s="305">
        <v>0</v>
      </c>
      <c r="AQ30" s="305">
        <v>0</v>
      </c>
      <c r="AR30" s="305">
        <v>0</v>
      </c>
      <c r="AS30" s="305">
        <v>0</v>
      </c>
      <c r="AT30" s="305">
        <v>0</v>
      </c>
      <c r="AU30" s="305">
        <v>0</v>
      </c>
      <c r="AV30" s="305">
        <v>0</v>
      </c>
      <c r="AW30" s="305">
        <v>0</v>
      </c>
    </row>
    <row r="31" spans="2:49">
      <c r="B31" s="179">
        <v>27</v>
      </c>
      <c r="C31" s="337">
        <v>2</v>
      </c>
      <c r="D31" s="179">
        <v>0</v>
      </c>
      <c r="E31" s="179">
        <v>0</v>
      </c>
      <c r="F31" s="179">
        <v>1</v>
      </c>
      <c r="G31" s="179">
        <v>0</v>
      </c>
      <c r="H31" s="179">
        <v>0</v>
      </c>
      <c r="I31" s="179">
        <v>0</v>
      </c>
      <c r="J31" s="179">
        <v>0</v>
      </c>
      <c r="L31" s="305" t="s">
        <v>127</v>
      </c>
      <c r="M31" s="305" t="s">
        <v>122</v>
      </c>
      <c r="N31" s="305">
        <v>0</v>
      </c>
      <c r="O31" s="337">
        <v>42</v>
      </c>
      <c r="P31" s="337">
        <v>69</v>
      </c>
      <c r="Q31" s="305">
        <v>16</v>
      </c>
      <c r="R31" s="305">
        <v>31</v>
      </c>
      <c r="S31" s="305">
        <v>10</v>
      </c>
      <c r="T31" s="305">
        <v>6</v>
      </c>
      <c r="U31" s="305">
        <v>4</v>
      </c>
      <c r="V31" s="305">
        <v>27</v>
      </c>
      <c r="W31" s="305">
        <v>0</v>
      </c>
      <c r="Y31" s="305" t="s">
        <v>127</v>
      </c>
      <c r="Z31" s="305" t="s">
        <v>122</v>
      </c>
      <c r="AA31" s="305">
        <v>0</v>
      </c>
      <c r="AB31" s="337">
        <v>852</v>
      </c>
      <c r="AC31" s="337">
        <v>3852</v>
      </c>
      <c r="AD31" s="337">
        <v>1100</v>
      </c>
      <c r="AE31" s="337">
        <v>0</v>
      </c>
      <c r="AF31" s="337">
        <v>9250</v>
      </c>
      <c r="AG31" s="337">
        <v>0</v>
      </c>
      <c r="AH31" s="337">
        <v>1300</v>
      </c>
      <c r="AI31" s="337">
        <v>6850</v>
      </c>
      <c r="AJ31" s="337">
        <v>0</v>
      </c>
      <c r="AL31" s="305" t="s">
        <v>127</v>
      </c>
      <c r="AM31" s="305" t="s">
        <v>122</v>
      </c>
      <c r="AN31" s="305">
        <v>0</v>
      </c>
      <c r="AO31" s="305">
        <v>0</v>
      </c>
      <c r="AP31" s="305">
        <v>0</v>
      </c>
      <c r="AQ31" s="305">
        <v>0</v>
      </c>
      <c r="AR31" s="305">
        <v>0</v>
      </c>
      <c r="AS31" s="305">
        <v>0</v>
      </c>
      <c r="AT31" s="305">
        <v>0</v>
      </c>
      <c r="AU31" s="305">
        <v>0</v>
      </c>
      <c r="AV31" s="305">
        <v>0</v>
      </c>
      <c r="AW31" s="305">
        <v>0</v>
      </c>
    </row>
    <row r="32" spans="2:49">
      <c r="B32" s="179">
        <v>28</v>
      </c>
      <c r="C32" s="337">
        <v>2</v>
      </c>
      <c r="D32" s="179">
        <v>0</v>
      </c>
      <c r="E32" s="179">
        <v>1</v>
      </c>
      <c r="F32" s="179">
        <v>0</v>
      </c>
      <c r="G32" s="179">
        <v>1</v>
      </c>
      <c r="H32" s="179">
        <v>0</v>
      </c>
      <c r="I32" s="179">
        <v>0</v>
      </c>
      <c r="J32" s="179">
        <v>0</v>
      </c>
      <c r="L32" s="305" t="s">
        <v>128</v>
      </c>
      <c r="M32" s="305" t="s">
        <v>122</v>
      </c>
      <c r="N32" s="305">
        <v>0</v>
      </c>
      <c r="O32" s="337">
        <v>42</v>
      </c>
      <c r="P32" s="337">
        <v>69</v>
      </c>
      <c r="Q32" s="305">
        <v>16</v>
      </c>
      <c r="R32" s="305">
        <v>31</v>
      </c>
      <c r="S32" s="305">
        <v>10</v>
      </c>
      <c r="T32" s="305">
        <v>6</v>
      </c>
      <c r="U32" s="305">
        <v>4</v>
      </c>
      <c r="V32" s="305">
        <v>27</v>
      </c>
      <c r="W32" s="305">
        <v>0</v>
      </c>
      <c r="Y32" s="305" t="s">
        <v>128</v>
      </c>
      <c r="Z32" s="305" t="s">
        <v>122</v>
      </c>
      <c r="AA32" s="305">
        <v>0</v>
      </c>
      <c r="AB32" s="337">
        <v>852</v>
      </c>
      <c r="AC32" s="337">
        <v>3852</v>
      </c>
      <c r="AD32" s="337">
        <v>1100</v>
      </c>
      <c r="AE32" s="337">
        <v>0</v>
      </c>
      <c r="AF32" s="337">
        <v>9250</v>
      </c>
      <c r="AG32" s="337">
        <v>0</v>
      </c>
      <c r="AH32" s="337">
        <v>1300</v>
      </c>
      <c r="AI32" s="337">
        <v>6850</v>
      </c>
      <c r="AJ32" s="337">
        <v>0</v>
      </c>
      <c r="AL32" s="305" t="s">
        <v>128</v>
      </c>
      <c r="AM32" s="305" t="s">
        <v>122</v>
      </c>
      <c r="AN32" s="305">
        <v>0</v>
      </c>
      <c r="AO32" s="305">
        <v>0</v>
      </c>
      <c r="AP32" s="305">
        <v>0</v>
      </c>
      <c r="AQ32" s="305">
        <v>0</v>
      </c>
      <c r="AR32" s="305">
        <v>0</v>
      </c>
      <c r="AS32" s="305">
        <v>0</v>
      </c>
      <c r="AT32" s="305">
        <v>0</v>
      </c>
      <c r="AU32" s="305">
        <v>0</v>
      </c>
      <c r="AV32" s="305">
        <v>0</v>
      </c>
      <c r="AW32" s="305">
        <v>0</v>
      </c>
    </row>
    <row r="33" spans="2:49">
      <c r="B33" s="179">
        <v>29</v>
      </c>
      <c r="C33" s="337">
        <v>2</v>
      </c>
      <c r="D33" s="179">
        <v>0</v>
      </c>
      <c r="E33" s="179">
        <v>0</v>
      </c>
      <c r="F33" s="179">
        <v>0</v>
      </c>
      <c r="G33" s="179">
        <v>0</v>
      </c>
      <c r="H33" s="179">
        <v>0</v>
      </c>
      <c r="I33" s="179">
        <v>0</v>
      </c>
      <c r="J33" s="179">
        <v>0</v>
      </c>
      <c r="L33" s="305" t="s">
        <v>129</v>
      </c>
      <c r="M33" s="305" t="s">
        <v>122</v>
      </c>
      <c r="N33" s="305">
        <v>0</v>
      </c>
      <c r="O33" s="337">
        <v>42</v>
      </c>
      <c r="P33" s="337">
        <v>69</v>
      </c>
      <c r="Q33" s="305">
        <v>16</v>
      </c>
      <c r="R33" s="305">
        <v>31</v>
      </c>
      <c r="S33" s="305">
        <v>10</v>
      </c>
      <c r="T33" s="305">
        <v>6</v>
      </c>
      <c r="U33" s="305">
        <v>4</v>
      </c>
      <c r="V33" s="305">
        <v>27</v>
      </c>
      <c r="W33" s="305">
        <v>0</v>
      </c>
      <c r="Y33" s="305" t="s">
        <v>129</v>
      </c>
      <c r="Z33" s="305" t="s">
        <v>122</v>
      </c>
      <c r="AA33" s="305">
        <v>0</v>
      </c>
      <c r="AB33" s="337">
        <v>852</v>
      </c>
      <c r="AC33" s="337">
        <v>3852</v>
      </c>
      <c r="AD33" s="337">
        <v>1100</v>
      </c>
      <c r="AE33" s="337">
        <v>0</v>
      </c>
      <c r="AF33" s="337">
        <v>9250</v>
      </c>
      <c r="AG33" s="337">
        <v>0</v>
      </c>
      <c r="AH33" s="337">
        <v>1300</v>
      </c>
      <c r="AI33" s="337">
        <v>6850</v>
      </c>
      <c r="AJ33" s="337">
        <v>0</v>
      </c>
      <c r="AL33" s="305" t="s">
        <v>129</v>
      </c>
      <c r="AM33" s="305" t="s">
        <v>122</v>
      </c>
      <c r="AN33" s="305">
        <v>0</v>
      </c>
      <c r="AO33" s="305">
        <v>0</v>
      </c>
      <c r="AP33" s="305">
        <v>0</v>
      </c>
      <c r="AQ33" s="305">
        <v>0</v>
      </c>
      <c r="AR33" s="305">
        <v>0</v>
      </c>
      <c r="AS33" s="305">
        <v>0</v>
      </c>
      <c r="AT33" s="305">
        <v>0</v>
      </c>
      <c r="AU33" s="305">
        <v>0</v>
      </c>
      <c r="AV33" s="305">
        <v>0</v>
      </c>
      <c r="AW33" s="305">
        <v>0</v>
      </c>
    </row>
    <row r="34" spans="2:49">
      <c r="B34" s="179">
        <v>30</v>
      </c>
      <c r="C34" s="337">
        <v>2</v>
      </c>
      <c r="D34" s="179">
        <v>1</v>
      </c>
      <c r="E34" s="179">
        <v>1</v>
      </c>
      <c r="F34" s="179">
        <v>1</v>
      </c>
      <c r="G34" s="179">
        <v>0</v>
      </c>
      <c r="H34" s="179">
        <v>1</v>
      </c>
      <c r="I34" s="179">
        <v>1</v>
      </c>
      <c r="J34" s="179">
        <v>0</v>
      </c>
      <c r="L34" s="305" t="s">
        <v>131</v>
      </c>
      <c r="M34" s="305" t="s">
        <v>130</v>
      </c>
      <c r="N34" s="305">
        <v>0</v>
      </c>
      <c r="O34" s="337">
        <v>70.5</v>
      </c>
      <c r="P34" s="337">
        <v>81.5</v>
      </c>
      <c r="Q34" s="337">
        <v>37</v>
      </c>
      <c r="R34" s="305">
        <v>0</v>
      </c>
      <c r="S34" s="305">
        <v>0</v>
      </c>
      <c r="T34" s="305">
        <v>0</v>
      </c>
      <c r="U34" s="305">
        <v>0</v>
      </c>
      <c r="V34" s="305">
        <v>0</v>
      </c>
      <c r="W34" s="305">
        <v>0</v>
      </c>
      <c r="Y34" s="305" t="s">
        <v>131</v>
      </c>
      <c r="Z34" s="305" t="s">
        <v>130</v>
      </c>
      <c r="AA34" s="305">
        <v>0</v>
      </c>
      <c r="AB34" s="337">
        <v>900</v>
      </c>
      <c r="AC34" s="337">
        <v>900</v>
      </c>
      <c r="AD34" s="337">
        <v>0</v>
      </c>
      <c r="AE34" s="337">
        <v>0</v>
      </c>
      <c r="AF34" s="337">
        <v>0</v>
      </c>
      <c r="AG34" s="337">
        <v>0</v>
      </c>
      <c r="AH34" s="337">
        <v>0</v>
      </c>
      <c r="AI34" s="337">
        <v>0</v>
      </c>
      <c r="AJ34" s="337">
        <v>0</v>
      </c>
      <c r="AL34" s="305" t="s">
        <v>131</v>
      </c>
      <c r="AM34" s="305" t="s">
        <v>130</v>
      </c>
      <c r="AN34" s="305">
        <v>0</v>
      </c>
      <c r="AO34" s="305">
        <v>0</v>
      </c>
      <c r="AP34" s="305">
        <v>0</v>
      </c>
      <c r="AQ34" s="305">
        <v>0</v>
      </c>
      <c r="AR34" s="305">
        <v>0</v>
      </c>
      <c r="AS34" s="305">
        <v>0</v>
      </c>
      <c r="AT34" s="305">
        <v>0</v>
      </c>
      <c r="AU34" s="305">
        <v>0</v>
      </c>
      <c r="AV34" s="305">
        <v>0</v>
      </c>
      <c r="AW34" s="305">
        <v>0</v>
      </c>
    </row>
    <row r="35" spans="2:49">
      <c r="B35" s="177"/>
      <c r="C35" s="177"/>
      <c r="D35" s="177"/>
      <c r="E35" s="177"/>
      <c r="F35" s="177"/>
      <c r="G35" s="177"/>
      <c r="H35" s="177"/>
      <c r="I35" s="177"/>
      <c r="J35" s="177"/>
      <c r="L35" s="305" t="s">
        <v>132</v>
      </c>
      <c r="M35" s="305" t="s">
        <v>130</v>
      </c>
      <c r="N35" s="305">
        <v>0</v>
      </c>
      <c r="O35" s="337">
        <v>70.5</v>
      </c>
      <c r="P35" s="337">
        <v>81.5</v>
      </c>
      <c r="Q35" s="337">
        <v>37</v>
      </c>
      <c r="R35" s="305">
        <v>0</v>
      </c>
      <c r="S35" s="305">
        <v>0</v>
      </c>
      <c r="T35" s="305">
        <v>0</v>
      </c>
      <c r="U35" s="305">
        <v>0</v>
      </c>
      <c r="V35" s="305">
        <v>0</v>
      </c>
      <c r="W35" s="305">
        <v>0</v>
      </c>
      <c r="Y35" s="305" t="s">
        <v>132</v>
      </c>
      <c r="Z35" s="305" t="s">
        <v>130</v>
      </c>
      <c r="AA35" s="305">
        <v>0</v>
      </c>
      <c r="AB35" s="337">
        <v>900</v>
      </c>
      <c r="AC35" s="337">
        <v>900</v>
      </c>
      <c r="AD35" s="337">
        <v>0</v>
      </c>
      <c r="AE35" s="337">
        <v>0</v>
      </c>
      <c r="AF35" s="337">
        <v>0</v>
      </c>
      <c r="AG35" s="337">
        <v>0</v>
      </c>
      <c r="AH35" s="337">
        <v>0</v>
      </c>
      <c r="AI35" s="337">
        <v>0</v>
      </c>
      <c r="AJ35" s="337">
        <v>0</v>
      </c>
      <c r="AL35" s="305" t="s">
        <v>132</v>
      </c>
      <c r="AM35" s="305" t="s">
        <v>130</v>
      </c>
      <c r="AN35" s="305">
        <v>0</v>
      </c>
      <c r="AO35" s="305">
        <v>0</v>
      </c>
      <c r="AP35" s="305">
        <v>0</v>
      </c>
      <c r="AQ35" s="305">
        <v>0</v>
      </c>
      <c r="AR35" s="305">
        <v>0</v>
      </c>
      <c r="AS35" s="305">
        <v>0</v>
      </c>
      <c r="AT35" s="305">
        <v>0</v>
      </c>
      <c r="AU35" s="305">
        <v>0</v>
      </c>
      <c r="AV35" s="305">
        <v>0</v>
      </c>
      <c r="AW35" s="305">
        <v>0</v>
      </c>
    </row>
    <row r="36" spans="2:49">
      <c r="L36" s="305" t="s">
        <v>133</v>
      </c>
      <c r="M36" s="305" t="s">
        <v>130</v>
      </c>
      <c r="N36" s="305">
        <v>0</v>
      </c>
      <c r="O36" s="337">
        <v>70.5</v>
      </c>
      <c r="P36" s="337">
        <v>81.5</v>
      </c>
      <c r="Q36" s="337">
        <v>37</v>
      </c>
      <c r="R36" s="305">
        <v>0</v>
      </c>
      <c r="S36" s="305">
        <v>0</v>
      </c>
      <c r="T36" s="305">
        <v>0</v>
      </c>
      <c r="U36" s="305">
        <v>0</v>
      </c>
      <c r="V36" s="305">
        <v>0</v>
      </c>
      <c r="W36" s="305">
        <v>0</v>
      </c>
      <c r="Y36" s="305" t="s">
        <v>133</v>
      </c>
      <c r="Z36" s="305" t="s">
        <v>130</v>
      </c>
      <c r="AA36" s="305">
        <v>0</v>
      </c>
      <c r="AB36" s="337">
        <v>900</v>
      </c>
      <c r="AC36" s="337">
        <v>900</v>
      </c>
      <c r="AD36" s="337">
        <v>0</v>
      </c>
      <c r="AE36" s="337">
        <v>0</v>
      </c>
      <c r="AF36" s="337">
        <v>0</v>
      </c>
      <c r="AG36" s="337">
        <v>0</v>
      </c>
      <c r="AH36" s="337">
        <v>0</v>
      </c>
      <c r="AI36" s="337">
        <v>0</v>
      </c>
      <c r="AJ36" s="337">
        <v>0</v>
      </c>
      <c r="AL36" s="305" t="s">
        <v>133</v>
      </c>
      <c r="AM36" s="305" t="s">
        <v>130</v>
      </c>
      <c r="AN36" s="305">
        <v>0</v>
      </c>
      <c r="AO36" s="305">
        <v>0</v>
      </c>
      <c r="AP36" s="305">
        <v>0</v>
      </c>
      <c r="AQ36" s="305">
        <v>0</v>
      </c>
      <c r="AR36" s="305">
        <v>0</v>
      </c>
      <c r="AS36" s="305">
        <v>0</v>
      </c>
      <c r="AT36" s="305">
        <v>0</v>
      </c>
      <c r="AU36" s="305">
        <v>0</v>
      </c>
      <c r="AV36" s="305">
        <v>0</v>
      </c>
      <c r="AW36" s="305">
        <v>0</v>
      </c>
    </row>
    <row r="37" spans="2:49" ht="15.75" thickBot="1">
      <c r="B37" s="323" t="s">
        <v>685</v>
      </c>
      <c r="C37" s="324" t="s">
        <v>447</v>
      </c>
      <c r="D37" s="324" t="s">
        <v>167</v>
      </c>
      <c r="E37" s="324" t="s">
        <v>686</v>
      </c>
      <c r="F37" s="324" t="s">
        <v>165</v>
      </c>
      <c r="G37" s="324" t="s">
        <v>724</v>
      </c>
      <c r="H37" s="322" t="s">
        <v>706</v>
      </c>
      <c r="I37" s="324" t="s">
        <v>725</v>
      </c>
      <c r="J37" s="322" t="s">
        <v>707</v>
      </c>
      <c r="L37" s="305" t="s">
        <v>134</v>
      </c>
      <c r="M37" s="305" t="s">
        <v>130</v>
      </c>
      <c r="N37" s="305">
        <v>0</v>
      </c>
      <c r="O37" s="337">
        <v>70.5</v>
      </c>
      <c r="P37" s="337">
        <v>81.5</v>
      </c>
      <c r="Q37" s="337">
        <v>37</v>
      </c>
      <c r="R37" s="305">
        <v>0</v>
      </c>
      <c r="S37" s="305">
        <v>0</v>
      </c>
      <c r="T37" s="305">
        <v>0</v>
      </c>
      <c r="U37" s="305">
        <v>0</v>
      </c>
      <c r="V37" s="305">
        <v>0</v>
      </c>
      <c r="W37" s="305">
        <v>0</v>
      </c>
      <c r="Y37" s="305" t="s">
        <v>134</v>
      </c>
      <c r="Z37" s="305" t="s">
        <v>130</v>
      </c>
      <c r="AA37" s="305">
        <v>0</v>
      </c>
      <c r="AB37" s="337">
        <v>900</v>
      </c>
      <c r="AC37" s="337">
        <v>900</v>
      </c>
      <c r="AD37" s="337">
        <v>0</v>
      </c>
      <c r="AE37" s="337">
        <v>0</v>
      </c>
      <c r="AF37" s="337">
        <v>0</v>
      </c>
      <c r="AG37" s="337">
        <v>0</v>
      </c>
      <c r="AH37" s="337">
        <v>0</v>
      </c>
      <c r="AI37" s="337">
        <v>0</v>
      </c>
      <c r="AJ37" s="337">
        <v>0</v>
      </c>
      <c r="AL37" s="305" t="s">
        <v>134</v>
      </c>
      <c r="AM37" s="305" t="s">
        <v>130</v>
      </c>
      <c r="AN37" s="305">
        <v>0</v>
      </c>
      <c r="AO37" s="305">
        <v>0</v>
      </c>
      <c r="AP37" s="305">
        <v>0</v>
      </c>
      <c r="AQ37" s="305">
        <v>0</v>
      </c>
      <c r="AR37" s="305">
        <v>0</v>
      </c>
      <c r="AS37" s="305">
        <v>0</v>
      </c>
      <c r="AT37" s="305">
        <v>0</v>
      </c>
      <c r="AU37" s="305">
        <v>0</v>
      </c>
      <c r="AV37" s="305">
        <v>0</v>
      </c>
      <c r="AW37" s="305">
        <v>0</v>
      </c>
    </row>
    <row r="38" spans="2:49">
      <c r="B38" s="136" t="s">
        <v>160</v>
      </c>
      <c r="C38" s="406">
        <f>VLOOKUP(D49,L4:W87,3,FALSE)</f>
        <v>1</v>
      </c>
      <c r="D38" s="325">
        <f>VLOOKUP(D49,Y4:AJ87,3,FALSE)</f>
        <v>1</v>
      </c>
      <c r="E38" s="429">
        <f>'Cost Calculation'!C67</f>
        <v>30</v>
      </c>
      <c r="F38" s="325">
        <f ca="1">SUM(INDIRECT("C"&amp;$D$51+5):INDIRECT("C"&amp;$D$52+4))</f>
        <v>10</v>
      </c>
      <c r="G38" s="325">
        <f ca="1">C38*$E$38*F38</f>
        <v>300</v>
      </c>
      <c r="H38" s="173">
        <f ca="1">G38/$D$50</f>
        <v>60</v>
      </c>
      <c r="I38" s="325">
        <f t="shared" ref="I38:I47" ca="1" si="0">D38*F38</f>
        <v>10</v>
      </c>
      <c r="J38" s="173">
        <f t="shared" ref="J38:J47" ca="1" si="1">I38/$D$50</f>
        <v>2</v>
      </c>
      <c r="L38" s="305" t="s">
        <v>135</v>
      </c>
      <c r="M38" s="305" t="s">
        <v>130</v>
      </c>
      <c r="N38" s="305">
        <v>0</v>
      </c>
      <c r="O38" s="337">
        <v>33.5</v>
      </c>
      <c r="P38" s="337">
        <v>47</v>
      </c>
      <c r="Q38" s="337">
        <v>60</v>
      </c>
      <c r="R38" s="305">
        <v>0</v>
      </c>
      <c r="S38" s="305">
        <v>0</v>
      </c>
      <c r="T38" s="305">
        <v>0</v>
      </c>
      <c r="U38" s="305">
        <v>0</v>
      </c>
      <c r="V38" s="305">
        <v>0</v>
      </c>
      <c r="W38" s="305">
        <v>0</v>
      </c>
      <c r="Y38" s="305" t="s">
        <v>135</v>
      </c>
      <c r="Z38" s="305" t="s">
        <v>130</v>
      </c>
      <c r="AA38" s="305">
        <v>0</v>
      </c>
      <c r="AB38" s="337">
        <v>600</v>
      </c>
      <c r="AC38" s="337">
        <v>600</v>
      </c>
      <c r="AD38" s="337">
        <v>2500</v>
      </c>
      <c r="AE38" s="337">
        <v>0</v>
      </c>
      <c r="AF38" s="337">
        <v>0</v>
      </c>
      <c r="AG38" s="337">
        <v>0</v>
      </c>
      <c r="AH38" s="337">
        <v>0</v>
      </c>
      <c r="AI38" s="337">
        <v>0</v>
      </c>
      <c r="AJ38" s="337">
        <v>0</v>
      </c>
      <c r="AL38" s="305" t="s">
        <v>135</v>
      </c>
      <c r="AM38" s="305" t="s">
        <v>130</v>
      </c>
      <c r="AN38" s="305">
        <v>0</v>
      </c>
      <c r="AO38" s="305">
        <v>0</v>
      </c>
      <c r="AP38" s="305">
        <v>0</v>
      </c>
      <c r="AQ38" s="305">
        <v>0</v>
      </c>
      <c r="AR38" s="305">
        <v>0</v>
      </c>
      <c r="AS38" s="305">
        <v>0</v>
      </c>
      <c r="AT38" s="305">
        <v>0</v>
      </c>
      <c r="AU38" s="305">
        <v>0</v>
      </c>
      <c r="AV38" s="305">
        <v>0</v>
      </c>
      <c r="AW38" s="305">
        <v>0</v>
      </c>
    </row>
    <row r="39" spans="2:49">
      <c r="B39" s="136" t="s">
        <v>687</v>
      </c>
      <c r="C39" s="406">
        <f>VLOOKUP(D49,L4:W87,4,FALSE)</f>
        <v>1</v>
      </c>
      <c r="D39" s="325">
        <f>VLOOKUP(D49,Y4:AJ87,4,FALSE)</f>
        <v>1</v>
      </c>
      <c r="E39" s="429"/>
      <c r="F39" s="325">
        <f>D50</f>
        <v>5</v>
      </c>
      <c r="G39" s="325">
        <f>C39*$E$38*F39</f>
        <v>150</v>
      </c>
      <c r="H39" s="173">
        <f t="shared" ref="H39:H47" si="2">G39/$D$50</f>
        <v>30</v>
      </c>
      <c r="I39" s="325">
        <f t="shared" si="0"/>
        <v>5</v>
      </c>
      <c r="J39" s="173">
        <f t="shared" si="1"/>
        <v>1</v>
      </c>
      <c r="L39" s="305" t="s">
        <v>136</v>
      </c>
      <c r="M39" s="305" t="s">
        <v>130</v>
      </c>
      <c r="N39" s="305">
        <v>0</v>
      </c>
      <c r="O39" s="337">
        <v>33.5</v>
      </c>
      <c r="P39" s="337">
        <v>47</v>
      </c>
      <c r="Q39" s="337">
        <v>60</v>
      </c>
      <c r="R39" s="305">
        <v>0</v>
      </c>
      <c r="S39" s="305">
        <v>0</v>
      </c>
      <c r="T39" s="305">
        <v>0</v>
      </c>
      <c r="U39" s="305">
        <v>0</v>
      </c>
      <c r="V39" s="305">
        <v>0</v>
      </c>
      <c r="W39" s="305">
        <v>0</v>
      </c>
      <c r="Y39" s="305" t="s">
        <v>136</v>
      </c>
      <c r="Z39" s="305" t="s">
        <v>130</v>
      </c>
      <c r="AA39" s="305">
        <v>0</v>
      </c>
      <c r="AB39" s="337">
        <v>600</v>
      </c>
      <c r="AC39" s="337">
        <v>600</v>
      </c>
      <c r="AD39" s="337">
        <v>2500</v>
      </c>
      <c r="AE39" s="337">
        <v>0</v>
      </c>
      <c r="AF39" s="337">
        <v>0</v>
      </c>
      <c r="AG39" s="337">
        <v>0</v>
      </c>
      <c r="AH39" s="337">
        <v>0</v>
      </c>
      <c r="AI39" s="337">
        <v>0</v>
      </c>
      <c r="AJ39" s="337">
        <v>0</v>
      </c>
      <c r="AL39" s="305" t="s">
        <v>136</v>
      </c>
      <c r="AM39" s="305" t="s">
        <v>130</v>
      </c>
      <c r="AN39" s="305">
        <v>0</v>
      </c>
      <c r="AO39" s="305">
        <v>0</v>
      </c>
      <c r="AP39" s="305">
        <v>0</v>
      </c>
      <c r="AQ39" s="305">
        <v>0</v>
      </c>
      <c r="AR39" s="305">
        <v>0</v>
      </c>
      <c r="AS39" s="305">
        <v>0</v>
      </c>
      <c r="AT39" s="305">
        <v>0</v>
      </c>
      <c r="AU39" s="305">
        <v>0</v>
      </c>
      <c r="AV39" s="305">
        <v>0</v>
      </c>
      <c r="AW39" s="305">
        <v>0</v>
      </c>
    </row>
    <row r="40" spans="2:49">
      <c r="B40" s="136" t="s">
        <v>688</v>
      </c>
      <c r="C40" s="325">
        <f>VLOOKUP(D49,L4:W87,5,FALSE)</f>
        <v>1</v>
      </c>
      <c r="D40" s="325">
        <f>VLOOKUP(D49,Y4:AJ87,5,FALSE)</f>
        <v>1</v>
      </c>
      <c r="E40" s="429"/>
      <c r="F40" s="325">
        <f>D50</f>
        <v>5</v>
      </c>
      <c r="G40" s="325">
        <f>C40*$E$38*F40</f>
        <v>150</v>
      </c>
      <c r="H40" s="173">
        <f t="shared" si="2"/>
        <v>30</v>
      </c>
      <c r="I40" s="325">
        <f t="shared" si="0"/>
        <v>5</v>
      </c>
      <c r="J40" s="173">
        <f t="shared" si="1"/>
        <v>1</v>
      </c>
      <c r="L40" s="305" t="s">
        <v>137</v>
      </c>
      <c r="M40" s="305" t="s">
        <v>122</v>
      </c>
      <c r="N40" s="305">
        <v>0</v>
      </c>
      <c r="O40" s="337">
        <v>33.5</v>
      </c>
      <c r="P40" s="337">
        <v>47</v>
      </c>
      <c r="Q40" s="337">
        <v>60</v>
      </c>
      <c r="R40" s="305">
        <v>0</v>
      </c>
      <c r="S40" s="305">
        <v>0</v>
      </c>
      <c r="T40" s="305">
        <v>0</v>
      </c>
      <c r="U40" s="305">
        <v>0</v>
      </c>
      <c r="V40" s="305">
        <v>0</v>
      </c>
      <c r="W40" s="305">
        <v>0</v>
      </c>
      <c r="Y40" s="305" t="s">
        <v>137</v>
      </c>
      <c r="Z40" s="305" t="s">
        <v>122</v>
      </c>
      <c r="AA40" s="305">
        <v>0</v>
      </c>
      <c r="AB40" s="337">
        <v>600</v>
      </c>
      <c r="AC40" s="337">
        <v>600</v>
      </c>
      <c r="AD40" s="337">
        <v>2500</v>
      </c>
      <c r="AE40" s="337">
        <v>0</v>
      </c>
      <c r="AF40" s="337">
        <v>0</v>
      </c>
      <c r="AG40" s="337">
        <v>0</v>
      </c>
      <c r="AH40" s="337">
        <v>0</v>
      </c>
      <c r="AI40" s="337">
        <v>0</v>
      </c>
      <c r="AJ40" s="337">
        <v>0</v>
      </c>
      <c r="AL40" s="305" t="s">
        <v>137</v>
      </c>
      <c r="AM40" s="305" t="s">
        <v>122</v>
      </c>
      <c r="AN40" s="305">
        <v>0</v>
      </c>
      <c r="AO40" s="305">
        <v>0</v>
      </c>
      <c r="AP40" s="305">
        <v>0</v>
      </c>
      <c r="AQ40" s="305">
        <v>0</v>
      </c>
      <c r="AR40" s="305">
        <v>0</v>
      </c>
      <c r="AS40" s="305">
        <v>0</v>
      </c>
      <c r="AT40" s="305">
        <v>0</v>
      </c>
      <c r="AU40" s="305">
        <v>0</v>
      </c>
      <c r="AV40" s="305">
        <v>0</v>
      </c>
      <c r="AW40" s="305">
        <v>0</v>
      </c>
    </row>
    <row r="41" spans="2:49">
      <c r="B41" s="136" t="s">
        <v>689</v>
      </c>
      <c r="C41" s="325">
        <f>VLOOKUP(D49,L4:W87,6,FALSE)</f>
        <v>1</v>
      </c>
      <c r="D41" s="325">
        <f>VLOOKUP(D49,Y4:AJ87,6,FALSE)</f>
        <v>1</v>
      </c>
      <c r="E41" s="429"/>
      <c r="F41" s="325">
        <f ca="1">SUM(INDIRECT("D"&amp;$D$51+5):INDIRECT("D"&amp;$D$52+4))</f>
        <v>1</v>
      </c>
      <c r="G41" s="325">
        <f t="shared" ref="G41:G47" ca="1" si="3">C41*$E$38*F41</f>
        <v>30</v>
      </c>
      <c r="H41" s="173">
        <f t="shared" ca="1" si="2"/>
        <v>6</v>
      </c>
      <c r="I41" s="325">
        <f t="shared" ca="1" si="0"/>
        <v>1</v>
      </c>
      <c r="J41" s="173">
        <f t="shared" ca="1" si="1"/>
        <v>0.2</v>
      </c>
      <c r="L41" s="305" t="s">
        <v>138</v>
      </c>
      <c r="M41" s="305" t="s">
        <v>122</v>
      </c>
      <c r="N41" s="305">
        <v>0</v>
      </c>
      <c r="O41" s="337">
        <v>33.5</v>
      </c>
      <c r="P41" s="337">
        <v>47</v>
      </c>
      <c r="Q41" s="337">
        <v>60</v>
      </c>
      <c r="R41" s="305">
        <v>0</v>
      </c>
      <c r="S41" s="305">
        <v>0</v>
      </c>
      <c r="T41" s="305">
        <v>0</v>
      </c>
      <c r="U41" s="305">
        <v>0</v>
      </c>
      <c r="V41" s="305">
        <v>0</v>
      </c>
      <c r="W41" s="305">
        <v>0</v>
      </c>
      <c r="Y41" s="305" t="s">
        <v>138</v>
      </c>
      <c r="Z41" s="305" t="s">
        <v>122</v>
      </c>
      <c r="AA41" s="305">
        <v>0</v>
      </c>
      <c r="AB41" s="337">
        <v>600</v>
      </c>
      <c r="AC41" s="337">
        <v>600</v>
      </c>
      <c r="AD41" s="337">
        <v>2500</v>
      </c>
      <c r="AE41" s="337">
        <v>0</v>
      </c>
      <c r="AF41" s="337">
        <v>0</v>
      </c>
      <c r="AG41" s="337">
        <v>0</v>
      </c>
      <c r="AH41" s="337">
        <v>0</v>
      </c>
      <c r="AI41" s="337">
        <v>0</v>
      </c>
      <c r="AJ41" s="337">
        <v>0</v>
      </c>
      <c r="AL41" s="305" t="s">
        <v>138</v>
      </c>
      <c r="AM41" s="305" t="s">
        <v>122</v>
      </c>
      <c r="AN41" s="305">
        <v>0</v>
      </c>
      <c r="AO41" s="305">
        <v>0</v>
      </c>
      <c r="AP41" s="305">
        <v>0</v>
      </c>
      <c r="AQ41" s="305">
        <v>0</v>
      </c>
      <c r="AR41" s="305">
        <v>0</v>
      </c>
      <c r="AS41" s="305">
        <v>0</v>
      </c>
      <c r="AT41" s="305">
        <v>0</v>
      </c>
      <c r="AU41" s="305">
        <v>0</v>
      </c>
      <c r="AV41" s="305">
        <v>0</v>
      </c>
      <c r="AW41" s="305">
        <v>0</v>
      </c>
    </row>
    <row r="42" spans="2:49">
      <c r="B42" s="136" t="s">
        <v>690</v>
      </c>
      <c r="C42" s="406">
        <f>VLOOKUP(D49,L4:W87,7,FALSE)</f>
        <v>1</v>
      </c>
      <c r="D42" s="325">
        <f>VLOOKUP(D49,Y4:AJ87,7,FALSE)</f>
        <v>1</v>
      </c>
      <c r="E42" s="429"/>
      <c r="F42" s="325">
        <f ca="1">SUM(INDIRECT("E"&amp;$D$51+5):INDIRECT("E"&amp;$D$52+4))</f>
        <v>3</v>
      </c>
      <c r="G42" s="325">
        <f t="shared" ca="1" si="3"/>
        <v>90</v>
      </c>
      <c r="H42" s="173">
        <f t="shared" ca="1" si="2"/>
        <v>18</v>
      </c>
      <c r="I42" s="325">
        <f t="shared" ca="1" si="0"/>
        <v>3</v>
      </c>
      <c r="J42" s="173">
        <f t="shared" ca="1" si="1"/>
        <v>0.6</v>
      </c>
      <c r="L42" s="305" t="s">
        <v>139</v>
      </c>
      <c r="M42" s="305" t="s">
        <v>122</v>
      </c>
      <c r="N42" s="305">
        <v>0</v>
      </c>
      <c r="O42" s="305">
        <v>31.5</v>
      </c>
      <c r="P42" s="305">
        <v>46</v>
      </c>
      <c r="Q42" s="305">
        <v>60</v>
      </c>
      <c r="R42" s="305">
        <v>0</v>
      </c>
      <c r="S42" s="305">
        <v>0</v>
      </c>
      <c r="T42" s="305">
        <v>0</v>
      </c>
      <c r="U42" s="305">
        <v>0</v>
      </c>
      <c r="V42" s="305">
        <v>0</v>
      </c>
      <c r="W42" s="305">
        <v>0</v>
      </c>
      <c r="Y42" s="305" t="s">
        <v>139</v>
      </c>
      <c r="Z42" s="305" t="s">
        <v>122</v>
      </c>
      <c r="AA42" s="305">
        <v>0</v>
      </c>
      <c r="AB42" s="337">
        <v>725</v>
      </c>
      <c r="AC42" s="337">
        <v>725</v>
      </c>
      <c r="AD42" s="337">
        <v>3000</v>
      </c>
      <c r="AE42" s="337">
        <v>0</v>
      </c>
      <c r="AF42" s="337">
        <v>0</v>
      </c>
      <c r="AG42" s="337">
        <v>0</v>
      </c>
      <c r="AH42" s="337">
        <v>0</v>
      </c>
      <c r="AI42" s="337">
        <v>0</v>
      </c>
      <c r="AJ42" s="337">
        <v>0</v>
      </c>
      <c r="AL42" s="305" t="s">
        <v>139</v>
      </c>
      <c r="AM42" s="305" t="s">
        <v>122</v>
      </c>
      <c r="AN42" s="305">
        <v>0</v>
      </c>
      <c r="AO42" s="305">
        <v>0</v>
      </c>
      <c r="AP42" s="305">
        <v>0</v>
      </c>
      <c r="AQ42" s="305">
        <v>0</v>
      </c>
      <c r="AR42" s="305">
        <v>0</v>
      </c>
      <c r="AS42" s="305">
        <v>0</v>
      </c>
      <c r="AT42" s="305">
        <v>0</v>
      </c>
      <c r="AU42" s="305">
        <v>0</v>
      </c>
      <c r="AV42" s="305">
        <v>0</v>
      </c>
      <c r="AW42" s="305">
        <v>0</v>
      </c>
    </row>
    <row r="43" spans="2:49">
      <c r="B43" s="136" t="s">
        <v>691</v>
      </c>
      <c r="C43" s="325">
        <f>VLOOKUP(D49,L4:W87,8,FALSE)</f>
        <v>1</v>
      </c>
      <c r="D43" s="325">
        <f>VLOOKUP(D49,Y4:AJ87,8,FALSE)</f>
        <v>1</v>
      </c>
      <c r="E43" s="429"/>
      <c r="F43" s="325">
        <f ca="1">SUM(INDIRECT("F"&amp;$D$51+5):INDIRECT("F"&amp;$D$52+4))</f>
        <v>2</v>
      </c>
      <c r="G43" s="325">
        <f t="shared" ca="1" si="3"/>
        <v>60</v>
      </c>
      <c r="H43" s="173">
        <f t="shared" ca="1" si="2"/>
        <v>12</v>
      </c>
      <c r="I43" s="325">
        <f t="shared" ca="1" si="0"/>
        <v>2</v>
      </c>
      <c r="J43" s="173">
        <f t="shared" ca="1" si="1"/>
        <v>0.4</v>
      </c>
      <c r="L43" s="305" t="s">
        <v>140</v>
      </c>
      <c r="M43" s="305" t="s">
        <v>122</v>
      </c>
      <c r="N43" s="305">
        <v>0</v>
      </c>
      <c r="O43" s="305">
        <v>31.5</v>
      </c>
      <c r="P43" s="305">
        <v>46</v>
      </c>
      <c r="Q43" s="305">
        <v>60</v>
      </c>
      <c r="R43" s="305">
        <v>0</v>
      </c>
      <c r="S43" s="305">
        <v>0</v>
      </c>
      <c r="T43" s="305">
        <v>0</v>
      </c>
      <c r="U43" s="305">
        <v>0</v>
      </c>
      <c r="V43" s="305">
        <v>0</v>
      </c>
      <c r="W43" s="305">
        <v>0</v>
      </c>
      <c r="Y43" s="305" t="s">
        <v>140</v>
      </c>
      <c r="Z43" s="305" t="s">
        <v>122</v>
      </c>
      <c r="AA43" s="305">
        <v>0</v>
      </c>
      <c r="AB43" s="337">
        <v>725</v>
      </c>
      <c r="AC43" s="337">
        <v>725</v>
      </c>
      <c r="AD43" s="337">
        <v>3000</v>
      </c>
      <c r="AE43" s="337">
        <v>0</v>
      </c>
      <c r="AF43" s="337">
        <v>0</v>
      </c>
      <c r="AG43" s="337">
        <v>0</v>
      </c>
      <c r="AH43" s="337">
        <v>0</v>
      </c>
      <c r="AI43" s="337">
        <v>0</v>
      </c>
      <c r="AJ43" s="337">
        <v>0</v>
      </c>
      <c r="AL43" s="305" t="s">
        <v>140</v>
      </c>
      <c r="AM43" s="305" t="s">
        <v>122</v>
      </c>
      <c r="AN43" s="305">
        <v>0</v>
      </c>
      <c r="AO43" s="305">
        <v>0</v>
      </c>
      <c r="AP43" s="305">
        <v>0</v>
      </c>
      <c r="AQ43" s="305">
        <v>0</v>
      </c>
      <c r="AR43" s="305">
        <v>0</v>
      </c>
      <c r="AS43" s="305">
        <v>0</v>
      </c>
      <c r="AT43" s="305">
        <v>0</v>
      </c>
      <c r="AU43" s="305">
        <v>0</v>
      </c>
      <c r="AV43" s="305">
        <v>0</v>
      </c>
      <c r="AW43" s="305">
        <v>0</v>
      </c>
    </row>
    <row r="44" spans="2:49">
      <c r="B44" s="136" t="s">
        <v>692</v>
      </c>
      <c r="C44" s="325">
        <f>VLOOKUP(D49,L4:W87,9,FALSE)</f>
        <v>1</v>
      </c>
      <c r="D44" s="325">
        <f>VLOOKUP(D49,Y4:AJ87,9,FALSE)</f>
        <v>1</v>
      </c>
      <c r="E44" s="429"/>
      <c r="F44" s="325">
        <f ca="1">SUM(INDIRECT("G"&amp;$D$51+5):INDIRECT("G"&amp;$D$52+4))</f>
        <v>1</v>
      </c>
      <c r="G44" s="325">
        <f t="shared" ca="1" si="3"/>
        <v>30</v>
      </c>
      <c r="H44" s="173">
        <f t="shared" ca="1" si="2"/>
        <v>6</v>
      </c>
      <c r="I44" s="325">
        <f t="shared" ca="1" si="0"/>
        <v>1</v>
      </c>
      <c r="J44" s="173">
        <f t="shared" ca="1" si="1"/>
        <v>0.2</v>
      </c>
      <c r="L44" s="305" t="s">
        <v>141</v>
      </c>
      <c r="M44" s="305" t="s">
        <v>122</v>
      </c>
      <c r="N44" s="305">
        <v>0</v>
      </c>
      <c r="O44" s="305">
        <v>31.5</v>
      </c>
      <c r="P44" s="305">
        <v>46</v>
      </c>
      <c r="Q44" s="305">
        <v>60</v>
      </c>
      <c r="R44" s="305">
        <v>0</v>
      </c>
      <c r="S44" s="305">
        <v>0</v>
      </c>
      <c r="T44" s="305">
        <v>0</v>
      </c>
      <c r="U44" s="305">
        <v>0</v>
      </c>
      <c r="V44" s="305">
        <v>0</v>
      </c>
      <c r="W44" s="305">
        <v>0</v>
      </c>
      <c r="Y44" s="305" t="s">
        <v>141</v>
      </c>
      <c r="Z44" s="305" t="s">
        <v>122</v>
      </c>
      <c r="AA44" s="305">
        <v>0</v>
      </c>
      <c r="AB44" s="337">
        <v>725</v>
      </c>
      <c r="AC44" s="337">
        <v>725</v>
      </c>
      <c r="AD44" s="337">
        <v>3000</v>
      </c>
      <c r="AE44" s="337">
        <v>0</v>
      </c>
      <c r="AF44" s="337">
        <v>0</v>
      </c>
      <c r="AG44" s="337">
        <v>0</v>
      </c>
      <c r="AH44" s="337">
        <v>0</v>
      </c>
      <c r="AI44" s="337">
        <v>0</v>
      </c>
      <c r="AJ44" s="337">
        <v>0</v>
      </c>
      <c r="AL44" s="305" t="s">
        <v>141</v>
      </c>
      <c r="AM44" s="305" t="s">
        <v>122</v>
      </c>
      <c r="AN44" s="305">
        <v>0</v>
      </c>
      <c r="AO44" s="305">
        <v>0</v>
      </c>
      <c r="AP44" s="305">
        <v>0</v>
      </c>
      <c r="AQ44" s="305">
        <v>0</v>
      </c>
      <c r="AR44" s="305">
        <v>0</v>
      </c>
      <c r="AS44" s="305">
        <v>0</v>
      </c>
      <c r="AT44" s="305">
        <v>0</v>
      </c>
      <c r="AU44" s="305">
        <v>0</v>
      </c>
      <c r="AV44" s="305">
        <v>0</v>
      </c>
      <c r="AW44" s="305">
        <v>0</v>
      </c>
    </row>
    <row r="45" spans="2:49">
      <c r="B45" s="136" t="s">
        <v>693</v>
      </c>
      <c r="C45" s="325">
        <f>VLOOKUP(D49,L4:W87,10,FALSE)</f>
        <v>1</v>
      </c>
      <c r="D45" s="325">
        <f>VLOOKUP(D49,Y4:AJ87,10,FALSE)</f>
        <v>1</v>
      </c>
      <c r="E45" s="429"/>
      <c r="F45" s="325">
        <f ca="1">SUM(INDIRECT("H"&amp;$D$51+5):INDIRECT("H"&amp;$D$52+4))</f>
        <v>1</v>
      </c>
      <c r="G45" s="325">
        <f t="shared" ca="1" si="3"/>
        <v>30</v>
      </c>
      <c r="H45" s="173">
        <f t="shared" ca="1" si="2"/>
        <v>6</v>
      </c>
      <c r="I45" s="325">
        <f t="shared" ca="1" si="0"/>
        <v>1</v>
      </c>
      <c r="J45" s="173">
        <f t="shared" ca="1" si="1"/>
        <v>0.2</v>
      </c>
      <c r="L45" s="305" t="s">
        <v>143</v>
      </c>
      <c r="M45" s="305" t="s">
        <v>142</v>
      </c>
      <c r="N45" s="305">
        <v>0</v>
      </c>
      <c r="O45" s="305">
        <v>41</v>
      </c>
      <c r="P45" s="305">
        <v>50</v>
      </c>
      <c r="Q45" s="305">
        <v>71</v>
      </c>
      <c r="R45" s="305">
        <v>0</v>
      </c>
      <c r="S45" s="305">
        <v>0</v>
      </c>
      <c r="T45" s="305">
        <v>0</v>
      </c>
      <c r="U45" s="305">
        <v>0</v>
      </c>
      <c r="V45" s="305">
        <v>0</v>
      </c>
      <c r="W45" s="305">
        <v>0</v>
      </c>
      <c r="Y45" s="305" t="s">
        <v>143</v>
      </c>
      <c r="Z45" s="305" t="s">
        <v>142</v>
      </c>
      <c r="AA45" s="305">
        <v>0</v>
      </c>
      <c r="AB45" s="337">
        <v>550</v>
      </c>
      <c r="AC45" s="337">
        <v>550</v>
      </c>
      <c r="AD45" s="337">
        <v>9400</v>
      </c>
      <c r="AE45" s="337">
        <v>0</v>
      </c>
      <c r="AF45" s="337">
        <v>0</v>
      </c>
      <c r="AG45" s="337">
        <v>0</v>
      </c>
      <c r="AH45" s="337">
        <v>0</v>
      </c>
      <c r="AI45" s="337">
        <v>0</v>
      </c>
      <c r="AJ45" s="337">
        <v>0</v>
      </c>
      <c r="AL45" s="305" t="s">
        <v>143</v>
      </c>
      <c r="AM45" s="305" t="s">
        <v>142</v>
      </c>
      <c r="AN45" s="305">
        <v>0</v>
      </c>
      <c r="AO45" s="305">
        <v>0</v>
      </c>
      <c r="AP45" s="305">
        <v>0</v>
      </c>
      <c r="AQ45" s="305">
        <v>0</v>
      </c>
      <c r="AR45" s="305">
        <v>0</v>
      </c>
      <c r="AS45" s="305">
        <v>0</v>
      </c>
      <c r="AT45" s="305">
        <v>0</v>
      </c>
      <c r="AU45" s="305">
        <v>0</v>
      </c>
      <c r="AV45" s="305">
        <v>0</v>
      </c>
      <c r="AW45" s="305">
        <v>0</v>
      </c>
    </row>
    <row r="46" spans="2:49">
      <c r="B46" s="136" t="s">
        <v>694</v>
      </c>
      <c r="C46" s="406">
        <f>VLOOKUP(D49,L4:W87,11,FALSE)</f>
        <v>1</v>
      </c>
      <c r="D46" s="325">
        <f>VLOOKUP(D49,Y4:AJ87,11,FALSE)</f>
        <v>1</v>
      </c>
      <c r="E46" s="429"/>
      <c r="F46" s="325">
        <f ca="1">SUM(INDIRECT("I"&amp;$D$51+5):INDIRECT("I"&amp;$D$52+4))</f>
        <v>1</v>
      </c>
      <c r="G46" s="325">
        <f t="shared" ca="1" si="3"/>
        <v>30</v>
      </c>
      <c r="H46" s="173">
        <f t="shared" ca="1" si="2"/>
        <v>6</v>
      </c>
      <c r="I46" s="325">
        <f t="shared" ca="1" si="0"/>
        <v>1</v>
      </c>
      <c r="J46" s="173">
        <f t="shared" ca="1" si="1"/>
        <v>0.2</v>
      </c>
      <c r="L46" s="305" t="s">
        <v>144</v>
      </c>
      <c r="M46" s="305" t="s">
        <v>142</v>
      </c>
      <c r="N46" s="305">
        <v>0</v>
      </c>
      <c r="O46" s="305">
        <v>41</v>
      </c>
      <c r="P46" s="305">
        <v>50</v>
      </c>
      <c r="Q46" s="305">
        <v>71</v>
      </c>
      <c r="R46" s="305">
        <v>0</v>
      </c>
      <c r="S46" s="305">
        <v>0</v>
      </c>
      <c r="T46" s="305">
        <v>0</v>
      </c>
      <c r="U46" s="305">
        <v>0</v>
      </c>
      <c r="V46" s="305">
        <v>0</v>
      </c>
      <c r="W46" s="305">
        <v>0</v>
      </c>
      <c r="Y46" s="305" t="s">
        <v>144</v>
      </c>
      <c r="Z46" s="305" t="s">
        <v>142</v>
      </c>
      <c r="AA46" s="305">
        <v>0</v>
      </c>
      <c r="AB46" s="337">
        <v>550</v>
      </c>
      <c r="AC46" s="337">
        <v>550</v>
      </c>
      <c r="AD46" s="337">
        <v>9400</v>
      </c>
      <c r="AE46" s="337">
        <v>0</v>
      </c>
      <c r="AF46" s="337">
        <v>0</v>
      </c>
      <c r="AG46" s="337">
        <v>0</v>
      </c>
      <c r="AH46" s="337">
        <v>0</v>
      </c>
      <c r="AI46" s="337">
        <v>0</v>
      </c>
      <c r="AJ46" s="337">
        <v>0</v>
      </c>
      <c r="AL46" s="305" t="s">
        <v>144</v>
      </c>
      <c r="AM46" s="305" t="s">
        <v>142</v>
      </c>
      <c r="AN46" s="305">
        <v>0</v>
      </c>
      <c r="AO46" s="305">
        <v>0</v>
      </c>
      <c r="AP46" s="305">
        <v>0</v>
      </c>
      <c r="AQ46" s="305">
        <v>0</v>
      </c>
      <c r="AR46" s="305">
        <v>0</v>
      </c>
      <c r="AS46" s="305">
        <v>0</v>
      </c>
      <c r="AT46" s="305">
        <v>0</v>
      </c>
      <c r="AU46" s="305">
        <v>0</v>
      </c>
      <c r="AV46" s="305">
        <v>0</v>
      </c>
      <c r="AW46" s="305">
        <v>0</v>
      </c>
    </row>
    <row r="47" spans="2:49">
      <c r="B47" s="136" t="s">
        <v>695</v>
      </c>
      <c r="C47" s="406">
        <f>VLOOKUP(D49,L4:W87,12,FALSE)</f>
        <v>1</v>
      </c>
      <c r="D47" s="406">
        <f>VLOOKUP(D49,Y4:AJ87,12,FALSE)</f>
        <v>1</v>
      </c>
      <c r="E47" s="429"/>
      <c r="F47" s="325">
        <f ca="1">SUM(INDIRECT("J"&amp;$D$51+5):INDIRECT("J"&amp;$D$52+4))</f>
        <v>0</v>
      </c>
      <c r="G47" s="325">
        <f t="shared" ca="1" si="3"/>
        <v>0</v>
      </c>
      <c r="H47" s="173">
        <f t="shared" ca="1" si="2"/>
        <v>0</v>
      </c>
      <c r="I47" s="325">
        <f t="shared" ca="1" si="0"/>
        <v>0</v>
      </c>
      <c r="J47" s="173">
        <f t="shared" ca="1" si="1"/>
        <v>0</v>
      </c>
      <c r="L47" s="305" t="s">
        <v>145</v>
      </c>
      <c r="M47" s="305" t="s">
        <v>142</v>
      </c>
      <c r="N47" s="305">
        <v>0</v>
      </c>
      <c r="O47" s="305">
        <v>41</v>
      </c>
      <c r="P47" s="305">
        <v>50</v>
      </c>
      <c r="Q47" s="305">
        <v>71</v>
      </c>
      <c r="R47" s="305">
        <v>0</v>
      </c>
      <c r="S47" s="305">
        <v>0</v>
      </c>
      <c r="T47" s="305">
        <v>0</v>
      </c>
      <c r="U47" s="305">
        <v>0</v>
      </c>
      <c r="V47" s="305">
        <v>0</v>
      </c>
      <c r="W47" s="305">
        <v>0</v>
      </c>
      <c r="Y47" s="305" t="s">
        <v>145</v>
      </c>
      <c r="Z47" s="305" t="s">
        <v>142</v>
      </c>
      <c r="AA47" s="305">
        <v>0</v>
      </c>
      <c r="AB47" s="337">
        <v>550</v>
      </c>
      <c r="AC47" s="337">
        <v>550</v>
      </c>
      <c r="AD47" s="337">
        <v>9400</v>
      </c>
      <c r="AE47" s="337">
        <v>0</v>
      </c>
      <c r="AF47" s="337">
        <v>0</v>
      </c>
      <c r="AG47" s="337">
        <v>0</v>
      </c>
      <c r="AH47" s="337">
        <v>0</v>
      </c>
      <c r="AI47" s="337">
        <v>0</v>
      </c>
      <c r="AJ47" s="337">
        <v>0</v>
      </c>
      <c r="AL47" s="305" t="s">
        <v>145</v>
      </c>
      <c r="AM47" s="305" t="s">
        <v>142</v>
      </c>
      <c r="AN47" s="305">
        <v>0</v>
      </c>
      <c r="AO47" s="305">
        <v>0</v>
      </c>
      <c r="AP47" s="305">
        <v>0</v>
      </c>
      <c r="AQ47" s="305">
        <v>0</v>
      </c>
      <c r="AR47" s="305">
        <v>0</v>
      </c>
      <c r="AS47" s="305">
        <v>0</v>
      </c>
      <c r="AT47" s="305">
        <v>0</v>
      </c>
      <c r="AU47" s="305">
        <v>0</v>
      </c>
      <c r="AV47" s="305">
        <v>0</v>
      </c>
      <c r="AW47" s="305">
        <v>0</v>
      </c>
    </row>
    <row r="48" spans="2:49">
      <c r="B48" s="253" t="s">
        <v>705</v>
      </c>
      <c r="C48" s="253"/>
      <c r="D48" s="253"/>
      <c r="E48" s="253"/>
      <c r="F48" s="253"/>
      <c r="G48" s="253">
        <f ca="1">SUM(G38:G47)</f>
        <v>870</v>
      </c>
      <c r="H48" s="253">
        <f ca="1">SUM(H38:H47)</f>
        <v>174</v>
      </c>
      <c r="I48" s="253">
        <f ca="1">SUM(I38:I47)</f>
        <v>29</v>
      </c>
      <c r="J48" s="253">
        <f ca="1">SUM(J38:J47)</f>
        <v>5.8000000000000007</v>
      </c>
      <c r="L48" s="305" t="s">
        <v>146</v>
      </c>
      <c r="M48" s="305" t="s">
        <v>142</v>
      </c>
      <c r="N48" s="305">
        <v>0</v>
      </c>
      <c r="O48" s="305">
        <v>21</v>
      </c>
      <c r="P48" s="305">
        <v>30.5</v>
      </c>
      <c r="Q48" s="305">
        <v>0</v>
      </c>
      <c r="R48" s="305">
        <v>0</v>
      </c>
      <c r="S48" s="305">
        <v>0</v>
      </c>
      <c r="T48" s="305">
        <v>0</v>
      </c>
      <c r="U48" s="305">
        <v>0</v>
      </c>
      <c r="V48" s="305">
        <v>0</v>
      </c>
      <c r="W48" s="305">
        <v>0</v>
      </c>
      <c r="Y48" s="305" t="s">
        <v>146</v>
      </c>
      <c r="Z48" s="305" t="s">
        <v>142</v>
      </c>
      <c r="AA48" s="305">
        <v>0</v>
      </c>
      <c r="AB48" s="337">
        <v>250</v>
      </c>
      <c r="AC48" s="337">
        <v>250</v>
      </c>
      <c r="AD48" s="337">
        <v>2000</v>
      </c>
      <c r="AE48" s="337">
        <v>0</v>
      </c>
      <c r="AF48" s="337">
        <v>0</v>
      </c>
      <c r="AG48" s="337">
        <v>0</v>
      </c>
      <c r="AH48" s="337">
        <v>0</v>
      </c>
      <c r="AI48" s="337">
        <v>0</v>
      </c>
      <c r="AJ48" s="337">
        <v>0</v>
      </c>
      <c r="AL48" s="305" t="s">
        <v>146</v>
      </c>
      <c r="AM48" s="305" t="s">
        <v>142</v>
      </c>
      <c r="AN48" s="305">
        <v>0</v>
      </c>
      <c r="AO48" s="305">
        <v>0</v>
      </c>
      <c r="AP48" s="305">
        <v>0</v>
      </c>
      <c r="AQ48" s="305">
        <v>0</v>
      </c>
      <c r="AR48" s="305">
        <v>0</v>
      </c>
      <c r="AS48" s="305">
        <v>0</v>
      </c>
      <c r="AT48" s="305">
        <v>0</v>
      </c>
      <c r="AU48" s="305">
        <v>0</v>
      </c>
      <c r="AV48" s="305">
        <v>0</v>
      </c>
      <c r="AW48" s="305">
        <v>0</v>
      </c>
    </row>
    <row r="49" spans="2:49">
      <c r="B49" s="1" t="s">
        <v>702</v>
      </c>
      <c r="D49" s="1" t="str">
        <f>Input!D13</f>
        <v>AN Bonus 2000</v>
      </c>
      <c r="L49" s="305" t="s">
        <v>147</v>
      </c>
      <c r="M49" s="305" t="s">
        <v>142</v>
      </c>
      <c r="N49" s="305">
        <v>0</v>
      </c>
      <c r="O49" s="305">
        <v>40</v>
      </c>
      <c r="P49" s="305">
        <v>51</v>
      </c>
      <c r="Q49" s="305">
        <v>59</v>
      </c>
      <c r="R49" s="305">
        <v>0</v>
      </c>
      <c r="S49" s="305">
        <v>0</v>
      </c>
      <c r="T49" s="305">
        <v>0</v>
      </c>
      <c r="U49" s="305">
        <v>0</v>
      </c>
      <c r="V49" s="305">
        <v>0</v>
      </c>
      <c r="W49" s="305">
        <v>0</v>
      </c>
      <c r="Y49" s="305" t="s">
        <v>147</v>
      </c>
      <c r="Z49" s="305" t="s">
        <v>142</v>
      </c>
      <c r="AA49" s="305">
        <v>0</v>
      </c>
      <c r="AB49" s="337">
        <v>550</v>
      </c>
      <c r="AC49" s="337">
        <v>550</v>
      </c>
      <c r="AD49" s="337">
        <v>9400</v>
      </c>
      <c r="AE49" s="337">
        <v>0</v>
      </c>
      <c r="AF49" s="337">
        <v>0</v>
      </c>
      <c r="AG49" s="337">
        <v>0</v>
      </c>
      <c r="AH49" s="337">
        <v>0</v>
      </c>
      <c r="AI49" s="337">
        <v>0</v>
      </c>
      <c r="AJ49" s="337">
        <v>0</v>
      </c>
      <c r="AL49" s="305" t="s">
        <v>147</v>
      </c>
      <c r="AM49" s="305" t="s">
        <v>142</v>
      </c>
      <c r="AN49" s="305">
        <v>0</v>
      </c>
      <c r="AO49" s="305">
        <v>0</v>
      </c>
      <c r="AP49" s="305">
        <v>0</v>
      </c>
      <c r="AQ49" s="305">
        <v>0</v>
      </c>
      <c r="AR49" s="305">
        <v>0</v>
      </c>
      <c r="AS49" s="305">
        <v>0</v>
      </c>
      <c r="AT49" s="305">
        <v>0</v>
      </c>
      <c r="AU49" s="305">
        <v>0</v>
      </c>
      <c r="AV49" s="305">
        <v>0</v>
      </c>
      <c r="AW49" s="305">
        <v>0</v>
      </c>
    </row>
    <row r="50" spans="2:49">
      <c r="B50" s="1" t="s">
        <v>703</v>
      </c>
      <c r="D50" s="1">
        <f>Input!D19</f>
        <v>5</v>
      </c>
      <c r="L50" s="305" t="s">
        <v>148</v>
      </c>
      <c r="M50" s="305" t="s">
        <v>142</v>
      </c>
      <c r="N50" s="305">
        <v>0</v>
      </c>
      <c r="O50" s="305">
        <v>40</v>
      </c>
      <c r="P50" s="305">
        <v>51</v>
      </c>
      <c r="Q50" s="305">
        <v>59</v>
      </c>
      <c r="R50" s="305">
        <v>0</v>
      </c>
      <c r="S50" s="305">
        <v>0</v>
      </c>
      <c r="T50" s="305">
        <v>0</v>
      </c>
      <c r="U50" s="305">
        <v>0</v>
      </c>
      <c r="V50" s="305">
        <v>0</v>
      </c>
      <c r="W50" s="305">
        <v>0</v>
      </c>
      <c r="Y50" s="305" t="s">
        <v>148</v>
      </c>
      <c r="Z50" s="305" t="s">
        <v>142</v>
      </c>
      <c r="AA50" s="305">
        <v>0</v>
      </c>
      <c r="AB50" s="337">
        <v>550</v>
      </c>
      <c r="AC50" s="337">
        <v>550</v>
      </c>
      <c r="AD50" s="337">
        <v>9400</v>
      </c>
      <c r="AE50" s="337">
        <v>0</v>
      </c>
      <c r="AF50" s="337">
        <v>0</v>
      </c>
      <c r="AG50" s="337">
        <v>0</v>
      </c>
      <c r="AH50" s="337">
        <v>0</v>
      </c>
      <c r="AI50" s="337">
        <v>0</v>
      </c>
      <c r="AJ50" s="337">
        <v>0</v>
      </c>
      <c r="AL50" s="305" t="s">
        <v>148</v>
      </c>
      <c r="AM50" s="305" t="s">
        <v>142</v>
      </c>
      <c r="AN50" s="305">
        <v>0</v>
      </c>
      <c r="AO50" s="305">
        <v>0</v>
      </c>
      <c r="AP50" s="305">
        <v>0</v>
      </c>
      <c r="AQ50" s="305">
        <v>0</v>
      </c>
      <c r="AR50" s="305">
        <v>0</v>
      </c>
      <c r="AS50" s="305">
        <v>0</v>
      </c>
      <c r="AT50" s="305">
        <v>0</v>
      </c>
      <c r="AU50" s="305">
        <v>0</v>
      </c>
      <c r="AV50" s="305">
        <v>0</v>
      </c>
      <c r="AW50" s="305">
        <v>0</v>
      </c>
    </row>
    <row r="51" spans="2:49">
      <c r="B51" s="1" t="s">
        <v>476</v>
      </c>
      <c r="D51" s="1">
        <f>DATEDIF(Input!G11,Input!D18,"y")</f>
        <v>5</v>
      </c>
      <c r="L51" s="305" t="s">
        <v>149</v>
      </c>
      <c r="M51" s="305" t="s">
        <v>142</v>
      </c>
      <c r="N51" s="305">
        <v>0</v>
      </c>
      <c r="O51" s="305">
        <v>40</v>
      </c>
      <c r="P51" s="305">
        <v>51</v>
      </c>
      <c r="Q51" s="305">
        <v>59</v>
      </c>
      <c r="R51" s="305">
        <v>0</v>
      </c>
      <c r="S51" s="305">
        <v>0</v>
      </c>
      <c r="T51" s="305">
        <v>0</v>
      </c>
      <c r="U51" s="305">
        <v>0</v>
      </c>
      <c r="V51" s="305">
        <v>0</v>
      </c>
      <c r="W51" s="305">
        <v>0</v>
      </c>
      <c r="Y51" s="305" t="s">
        <v>149</v>
      </c>
      <c r="Z51" s="305" t="s">
        <v>142</v>
      </c>
      <c r="AA51" s="305">
        <v>0</v>
      </c>
      <c r="AB51" s="337">
        <v>550</v>
      </c>
      <c r="AC51" s="337">
        <v>550</v>
      </c>
      <c r="AD51" s="337">
        <v>9400</v>
      </c>
      <c r="AE51" s="337">
        <v>0</v>
      </c>
      <c r="AF51" s="337">
        <v>0</v>
      </c>
      <c r="AG51" s="337">
        <v>0</v>
      </c>
      <c r="AH51" s="337">
        <v>0</v>
      </c>
      <c r="AI51" s="337">
        <v>0</v>
      </c>
      <c r="AJ51" s="337">
        <v>0</v>
      </c>
      <c r="AL51" s="305" t="s">
        <v>149</v>
      </c>
      <c r="AM51" s="305" t="s">
        <v>142</v>
      </c>
      <c r="AN51" s="305">
        <v>0</v>
      </c>
      <c r="AO51" s="305">
        <v>0</v>
      </c>
      <c r="AP51" s="305">
        <v>0</v>
      </c>
      <c r="AQ51" s="305">
        <v>0</v>
      </c>
      <c r="AR51" s="305">
        <v>0</v>
      </c>
      <c r="AS51" s="305">
        <v>0</v>
      </c>
      <c r="AT51" s="305">
        <v>0</v>
      </c>
      <c r="AU51" s="305">
        <v>0</v>
      </c>
      <c r="AV51" s="305">
        <v>0</v>
      </c>
      <c r="AW51" s="305">
        <v>0</v>
      </c>
    </row>
    <row r="52" spans="2:49">
      <c r="B52" s="1" t="s">
        <v>477</v>
      </c>
      <c r="D52" s="1">
        <f>SUM(D50:D51)</f>
        <v>10</v>
      </c>
      <c r="L52" s="305" t="s">
        <v>150</v>
      </c>
      <c r="M52" s="305" t="s">
        <v>142</v>
      </c>
      <c r="N52" s="305">
        <v>0</v>
      </c>
      <c r="O52" s="305">
        <v>42.5</v>
      </c>
      <c r="P52" s="305">
        <v>59</v>
      </c>
      <c r="Q52" s="305">
        <v>60</v>
      </c>
      <c r="R52" s="305">
        <v>0</v>
      </c>
      <c r="S52" s="305">
        <v>0</v>
      </c>
      <c r="T52" s="305">
        <v>0</v>
      </c>
      <c r="U52" s="305">
        <v>0</v>
      </c>
      <c r="V52" s="305">
        <v>0</v>
      </c>
      <c r="W52" s="305">
        <v>0</v>
      </c>
      <c r="Y52" s="305" t="s">
        <v>150</v>
      </c>
      <c r="Z52" s="305" t="s">
        <v>142</v>
      </c>
      <c r="AA52" s="305">
        <v>0</v>
      </c>
      <c r="AB52" s="337">
        <v>600</v>
      </c>
      <c r="AC52" s="337">
        <v>600</v>
      </c>
      <c r="AD52" s="337">
        <v>2500</v>
      </c>
      <c r="AE52" s="337">
        <v>0</v>
      </c>
      <c r="AF52" s="337">
        <v>0</v>
      </c>
      <c r="AG52" s="337">
        <v>0</v>
      </c>
      <c r="AH52" s="337">
        <v>0</v>
      </c>
      <c r="AI52" s="337">
        <v>0</v>
      </c>
      <c r="AJ52" s="337">
        <v>0</v>
      </c>
      <c r="AL52" s="305" t="s">
        <v>150</v>
      </c>
      <c r="AM52" s="305" t="s">
        <v>142</v>
      </c>
      <c r="AN52" s="305">
        <v>0</v>
      </c>
      <c r="AO52" s="305">
        <v>0</v>
      </c>
      <c r="AP52" s="305">
        <v>0</v>
      </c>
      <c r="AQ52" s="305">
        <v>0</v>
      </c>
      <c r="AR52" s="305">
        <v>0</v>
      </c>
      <c r="AS52" s="305">
        <v>0</v>
      </c>
      <c r="AT52" s="305">
        <v>0</v>
      </c>
      <c r="AU52" s="305">
        <v>0</v>
      </c>
      <c r="AV52" s="305">
        <v>0</v>
      </c>
      <c r="AW52" s="305">
        <v>0</v>
      </c>
    </row>
    <row r="53" spans="2:49">
      <c r="B53" s="1" t="s">
        <v>453</v>
      </c>
      <c r="D53" s="1">
        <v>72</v>
      </c>
      <c r="L53" s="305" t="s">
        <v>151</v>
      </c>
      <c r="M53" s="305" t="s">
        <v>142</v>
      </c>
      <c r="N53" s="305">
        <v>0</v>
      </c>
      <c r="O53" s="305">
        <v>42.5</v>
      </c>
      <c r="P53" s="305">
        <v>59</v>
      </c>
      <c r="Q53" s="305">
        <v>60</v>
      </c>
      <c r="R53" s="305">
        <v>0</v>
      </c>
      <c r="S53" s="305">
        <v>0</v>
      </c>
      <c r="T53" s="305">
        <v>0</v>
      </c>
      <c r="U53" s="305">
        <v>0</v>
      </c>
      <c r="V53" s="305">
        <v>0</v>
      </c>
      <c r="W53" s="305">
        <v>0</v>
      </c>
      <c r="Y53" s="305" t="s">
        <v>151</v>
      </c>
      <c r="Z53" s="305" t="s">
        <v>142</v>
      </c>
      <c r="AA53" s="305">
        <v>0</v>
      </c>
      <c r="AB53" s="337">
        <v>600</v>
      </c>
      <c r="AC53" s="337">
        <v>600</v>
      </c>
      <c r="AD53" s="337">
        <v>2500</v>
      </c>
      <c r="AE53" s="337">
        <v>0</v>
      </c>
      <c r="AF53" s="337">
        <v>0</v>
      </c>
      <c r="AG53" s="337">
        <v>0</v>
      </c>
      <c r="AH53" s="337">
        <v>0</v>
      </c>
      <c r="AI53" s="337">
        <v>0</v>
      </c>
      <c r="AJ53" s="337">
        <v>0</v>
      </c>
      <c r="AL53" s="305" t="s">
        <v>151</v>
      </c>
      <c r="AM53" s="305" t="s">
        <v>142</v>
      </c>
      <c r="AN53" s="305">
        <v>0</v>
      </c>
      <c r="AO53" s="305">
        <v>0</v>
      </c>
      <c r="AP53" s="305">
        <v>0</v>
      </c>
      <c r="AQ53" s="305">
        <v>0</v>
      </c>
      <c r="AR53" s="305">
        <v>0</v>
      </c>
      <c r="AS53" s="305">
        <v>0</v>
      </c>
      <c r="AT53" s="305">
        <v>0</v>
      </c>
      <c r="AU53" s="305">
        <v>0</v>
      </c>
      <c r="AV53" s="305">
        <v>0</v>
      </c>
      <c r="AW53" s="305">
        <v>0</v>
      </c>
    </row>
    <row r="54" spans="2:49" ht="18.75">
      <c r="G54" s="868"/>
      <c r="H54" s="868"/>
      <c r="I54" s="868"/>
      <c r="J54" s="868"/>
      <c r="L54" s="305" t="s">
        <v>535</v>
      </c>
      <c r="M54" s="305" t="s">
        <v>122</v>
      </c>
      <c r="N54" s="305">
        <v>0</v>
      </c>
      <c r="O54" s="337">
        <v>42</v>
      </c>
      <c r="P54" s="337">
        <v>69</v>
      </c>
      <c r="Q54" s="305">
        <v>16</v>
      </c>
      <c r="R54" s="305">
        <v>31</v>
      </c>
      <c r="S54" s="305">
        <v>10</v>
      </c>
      <c r="T54" s="305">
        <v>6</v>
      </c>
      <c r="U54" s="305">
        <v>4</v>
      </c>
      <c r="V54" s="305">
        <v>27</v>
      </c>
      <c r="W54" s="305">
        <v>0</v>
      </c>
      <c r="Y54" s="305" t="s">
        <v>535</v>
      </c>
      <c r="Z54" s="305" t="s">
        <v>122</v>
      </c>
      <c r="AA54" s="305">
        <v>0</v>
      </c>
      <c r="AB54" s="337">
        <v>852</v>
      </c>
      <c r="AC54" s="337">
        <v>3852</v>
      </c>
      <c r="AD54" s="337">
        <v>1100</v>
      </c>
      <c r="AE54" s="337">
        <v>0</v>
      </c>
      <c r="AF54" s="337">
        <v>9250</v>
      </c>
      <c r="AG54" s="337">
        <v>0</v>
      </c>
      <c r="AH54" s="337">
        <v>1300</v>
      </c>
      <c r="AI54" s="337">
        <v>6850</v>
      </c>
      <c r="AJ54" s="337">
        <v>0</v>
      </c>
      <c r="AL54" s="305" t="s">
        <v>535</v>
      </c>
      <c r="AM54" s="305" t="s">
        <v>122</v>
      </c>
      <c r="AN54" s="305">
        <v>0</v>
      </c>
      <c r="AO54" s="305">
        <v>0</v>
      </c>
      <c r="AP54" s="305">
        <v>0</v>
      </c>
      <c r="AQ54" s="305">
        <v>0</v>
      </c>
      <c r="AR54" s="305">
        <v>0</v>
      </c>
      <c r="AS54" s="305">
        <v>0</v>
      </c>
      <c r="AT54" s="305">
        <v>0</v>
      </c>
      <c r="AU54" s="305">
        <v>0</v>
      </c>
      <c r="AV54" s="305">
        <v>0</v>
      </c>
      <c r="AW54" s="305">
        <v>0</v>
      </c>
    </row>
    <row r="55" spans="2:49">
      <c r="L55" s="305" t="s">
        <v>152</v>
      </c>
      <c r="M55" s="305" t="s">
        <v>142</v>
      </c>
      <c r="N55" s="305">
        <v>0</v>
      </c>
      <c r="O55" s="305">
        <v>41</v>
      </c>
      <c r="P55" s="305">
        <v>50</v>
      </c>
      <c r="Q55" s="305">
        <v>71</v>
      </c>
      <c r="R55" s="305">
        <v>0</v>
      </c>
      <c r="S55" s="305">
        <v>0</v>
      </c>
      <c r="T55" s="305">
        <v>0</v>
      </c>
      <c r="U55" s="305">
        <v>0</v>
      </c>
      <c r="V55" s="305">
        <v>0</v>
      </c>
      <c r="W55" s="305">
        <v>0</v>
      </c>
      <c r="Y55" s="305" t="s">
        <v>152</v>
      </c>
      <c r="Z55" s="305" t="s">
        <v>142</v>
      </c>
      <c r="AA55" s="305">
        <v>0</v>
      </c>
      <c r="AB55" s="337">
        <v>550</v>
      </c>
      <c r="AC55" s="337">
        <v>550</v>
      </c>
      <c r="AD55" s="337">
        <v>9400</v>
      </c>
      <c r="AE55" s="337">
        <v>0</v>
      </c>
      <c r="AF55" s="337">
        <v>0</v>
      </c>
      <c r="AG55" s="337">
        <v>0</v>
      </c>
      <c r="AH55" s="337">
        <v>0</v>
      </c>
      <c r="AI55" s="337">
        <v>0</v>
      </c>
      <c r="AJ55" s="337">
        <v>0</v>
      </c>
      <c r="AL55" s="305" t="s">
        <v>152</v>
      </c>
      <c r="AM55" s="305" t="s">
        <v>142</v>
      </c>
      <c r="AN55" s="305">
        <v>0</v>
      </c>
      <c r="AO55" s="305">
        <v>0</v>
      </c>
      <c r="AP55" s="305">
        <v>0</v>
      </c>
      <c r="AQ55" s="305">
        <v>0</v>
      </c>
      <c r="AR55" s="305">
        <v>0</v>
      </c>
      <c r="AS55" s="305">
        <v>0</v>
      </c>
      <c r="AT55" s="305">
        <v>0</v>
      </c>
      <c r="AU55" s="305">
        <v>0</v>
      </c>
      <c r="AV55" s="305">
        <v>0</v>
      </c>
      <c r="AW55" s="305">
        <v>0</v>
      </c>
    </row>
    <row r="56" spans="2:49">
      <c r="G56" s="456"/>
      <c r="H56" s="52"/>
      <c r="I56" s="52"/>
      <c r="J56" s="52"/>
      <c r="L56" s="305" t="s">
        <v>153</v>
      </c>
      <c r="M56" s="305" t="s">
        <v>142</v>
      </c>
      <c r="N56" s="305">
        <v>0</v>
      </c>
      <c r="O56" s="305">
        <v>41</v>
      </c>
      <c r="P56" s="305">
        <v>50</v>
      </c>
      <c r="Q56" s="305">
        <v>71</v>
      </c>
      <c r="R56" s="305">
        <v>0</v>
      </c>
      <c r="S56" s="305">
        <v>0</v>
      </c>
      <c r="T56" s="305">
        <v>0</v>
      </c>
      <c r="U56" s="305">
        <v>0</v>
      </c>
      <c r="V56" s="305">
        <v>0</v>
      </c>
      <c r="W56" s="305">
        <v>0</v>
      </c>
      <c r="Y56" s="305" t="s">
        <v>153</v>
      </c>
      <c r="Z56" s="305" t="s">
        <v>142</v>
      </c>
      <c r="AA56" s="305">
        <v>0</v>
      </c>
      <c r="AB56" s="337">
        <v>550</v>
      </c>
      <c r="AC56" s="337">
        <v>550</v>
      </c>
      <c r="AD56" s="337">
        <v>9400</v>
      </c>
      <c r="AE56" s="337">
        <v>0</v>
      </c>
      <c r="AF56" s="337">
        <v>0</v>
      </c>
      <c r="AG56" s="337">
        <v>0</v>
      </c>
      <c r="AH56" s="337">
        <v>0</v>
      </c>
      <c r="AI56" s="337">
        <v>0</v>
      </c>
      <c r="AJ56" s="337">
        <v>0</v>
      </c>
      <c r="AL56" s="305" t="s">
        <v>153</v>
      </c>
      <c r="AM56" s="305" t="s">
        <v>142</v>
      </c>
      <c r="AN56" s="305">
        <v>0</v>
      </c>
      <c r="AO56" s="305">
        <v>0</v>
      </c>
      <c r="AP56" s="305">
        <v>0</v>
      </c>
      <c r="AQ56" s="305">
        <v>0</v>
      </c>
      <c r="AR56" s="305">
        <v>0</v>
      </c>
      <c r="AS56" s="305">
        <v>0</v>
      </c>
      <c r="AT56" s="305">
        <v>0</v>
      </c>
      <c r="AU56" s="305">
        <v>0</v>
      </c>
      <c r="AV56" s="305">
        <v>0</v>
      </c>
      <c r="AW56" s="305">
        <v>0</v>
      </c>
    </row>
    <row r="57" spans="2:49">
      <c r="G57" s="52"/>
      <c r="H57" s="52"/>
      <c r="I57" s="52"/>
      <c r="J57" s="52"/>
      <c r="L57" s="305" t="s">
        <v>154</v>
      </c>
      <c r="M57" s="305" t="s">
        <v>142</v>
      </c>
      <c r="N57" s="305">
        <v>0</v>
      </c>
      <c r="O57" s="305">
        <v>41</v>
      </c>
      <c r="P57" s="305">
        <v>50</v>
      </c>
      <c r="Q57" s="305">
        <v>71</v>
      </c>
      <c r="R57" s="305">
        <v>0</v>
      </c>
      <c r="S57" s="305">
        <v>0</v>
      </c>
      <c r="T57" s="305">
        <v>0</v>
      </c>
      <c r="U57" s="305">
        <v>0</v>
      </c>
      <c r="V57" s="305">
        <v>0</v>
      </c>
      <c r="W57" s="305">
        <v>0</v>
      </c>
      <c r="Y57" s="305" t="s">
        <v>154</v>
      </c>
      <c r="Z57" s="305" t="s">
        <v>142</v>
      </c>
      <c r="AA57" s="305">
        <v>0</v>
      </c>
      <c r="AB57" s="337">
        <v>550</v>
      </c>
      <c r="AC57" s="337">
        <v>550</v>
      </c>
      <c r="AD57" s="337">
        <v>9400</v>
      </c>
      <c r="AE57" s="337">
        <v>0</v>
      </c>
      <c r="AF57" s="337">
        <v>0</v>
      </c>
      <c r="AG57" s="337">
        <v>0</v>
      </c>
      <c r="AH57" s="337">
        <v>0</v>
      </c>
      <c r="AI57" s="337">
        <v>0</v>
      </c>
      <c r="AJ57" s="337">
        <v>0</v>
      </c>
      <c r="AL57" s="305" t="s">
        <v>154</v>
      </c>
      <c r="AM57" s="305" t="s">
        <v>142</v>
      </c>
      <c r="AN57" s="305">
        <v>0</v>
      </c>
      <c r="AO57" s="305">
        <v>0</v>
      </c>
      <c r="AP57" s="305">
        <v>0</v>
      </c>
      <c r="AQ57" s="305">
        <v>0</v>
      </c>
      <c r="AR57" s="305">
        <v>0</v>
      </c>
      <c r="AS57" s="305">
        <v>0</v>
      </c>
      <c r="AT57" s="305">
        <v>0</v>
      </c>
      <c r="AU57" s="305">
        <v>0</v>
      </c>
      <c r="AV57" s="305">
        <v>0</v>
      </c>
      <c r="AW57" s="305">
        <v>0</v>
      </c>
    </row>
    <row r="58" spans="2:49">
      <c r="G58" s="52"/>
      <c r="H58" s="52"/>
      <c r="I58" s="52"/>
      <c r="J58" s="52"/>
      <c r="L58" s="337" t="s">
        <v>800</v>
      </c>
      <c r="M58" s="337" t="s">
        <v>142</v>
      </c>
      <c r="N58" s="337">
        <v>0</v>
      </c>
      <c r="O58" s="337">
        <v>41</v>
      </c>
      <c r="P58" s="337">
        <v>50</v>
      </c>
      <c r="Q58" s="337">
        <v>71</v>
      </c>
      <c r="R58" s="337">
        <v>0</v>
      </c>
      <c r="S58" s="337">
        <v>0</v>
      </c>
      <c r="T58" s="337">
        <v>0</v>
      </c>
      <c r="U58" s="337">
        <v>0</v>
      </c>
      <c r="V58" s="337">
        <v>0</v>
      </c>
      <c r="W58" s="337">
        <v>0</v>
      </c>
      <c r="Y58" s="337" t="s">
        <v>800</v>
      </c>
      <c r="Z58" s="337" t="s">
        <v>142</v>
      </c>
      <c r="AA58" s="337">
        <v>0</v>
      </c>
      <c r="AB58" s="337">
        <v>550</v>
      </c>
      <c r="AC58" s="337">
        <v>550</v>
      </c>
      <c r="AD58" s="337">
        <v>9400</v>
      </c>
      <c r="AE58" s="337">
        <v>0</v>
      </c>
      <c r="AF58" s="337">
        <v>0</v>
      </c>
      <c r="AG58" s="337">
        <v>0</v>
      </c>
      <c r="AH58" s="337">
        <v>0</v>
      </c>
      <c r="AI58" s="337">
        <v>0</v>
      </c>
      <c r="AJ58" s="337">
        <v>0</v>
      </c>
      <c r="AL58" s="337" t="s">
        <v>800</v>
      </c>
      <c r="AM58" s="337" t="s">
        <v>142</v>
      </c>
      <c r="AN58" s="337">
        <v>0</v>
      </c>
      <c r="AO58" s="337">
        <v>0</v>
      </c>
      <c r="AP58" s="337">
        <v>0</v>
      </c>
      <c r="AQ58" s="337">
        <v>0</v>
      </c>
      <c r="AR58" s="337">
        <v>0</v>
      </c>
      <c r="AS58" s="337">
        <v>0</v>
      </c>
      <c r="AT58" s="337">
        <v>0</v>
      </c>
      <c r="AU58" s="337">
        <v>0</v>
      </c>
      <c r="AV58" s="337">
        <v>0</v>
      </c>
      <c r="AW58" s="337">
        <v>0</v>
      </c>
    </row>
    <row r="59" spans="2:49">
      <c r="G59" s="52"/>
      <c r="H59" s="52"/>
      <c r="I59" s="52"/>
      <c r="J59" s="52"/>
      <c r="L59" s="337" t="s">
        <v>535</v>
      </c>
      <c r="M59" s="337" t="s">
        <v>122</v>
      </c>
      <c r="N59" s="337">
        <v>0</v>
      </c>
      <c r="O59" s="337">
        <v>42</v>
      </c>
      <c r="P59" s="337">
        <v>69</v>
      </c>
      <c r="Q59" s="337">
        <v>16</v>
      </c>
      <c r="R59" s="337">
        <v>31</v>
      </c>
      <c r="S59" s="337">
        <v>10</v>
      </c>
      <c r="T59" s="337">
        <v>6</v>
      </c>
      <c r="U59" s="337">
        <v>4</v>
      </c>
      <c r="V59" s="337">
        <v>27</v>
      </c>
      <c r="W59" s="337">
        <v>0</v>
      </c>
      <c r="Y59" s="337" t="s">
        <v>535</v>
      </c>
      <c r="Z59" s="337" t="s">
        <v>122</v>
      </c>
      <c r="AA59" s="337">
        <v>0</v>
      </c>
      <c r="AB59" s="337">
        <v>852</v>
      </c>
      <c r="AC59" s="337">
        <v>3852</v>
      </c>
      <c r="AD59" s="337">
        <v>1100</v>
      </c>
      <c r="AE59" s="337">
        <v>0</v>
      </c>
      <c r="AF59" s="337">
        <v>9250</v>
      </c>
      <c r="AG59" s="337">
        <v>0</v>
      </c>
      <c r="AH59" s="337">
        <v>1300</v>
      </c>
      <c r="AI59" s="337">
        <v>6850</v>
      </c>
      <c r="AJ59" s="337">
        <v>0</v>
      </c>
      <c r="AL59" s="337" t="s">
        <v>535</v>
      </c>
      <c r="AM59" s="337" t="s">
        <v>122</v>
      </c>
      <c r="AN59" s="337">
        <v>0</v>
      </c>
      <c r="AO59" s="337">
        <v>0</v>
      </c>
      <c r="AP59" s="337">
        <v>0</v>
      </c>
      <c r="AQ59" s="337">
        <v>0</v>
      </c>
      <c r="AR59" s="337">
        <v>0</v>
      </c>
      <c r="AS59" s="337">
        <v>0</v>
      </c>
      <c r="AT59" s="337">
        <v>0</v>
      </c>
      <c r="AU59" s="337">
        <v>0</v>
      </c>
      <c r="AV59" s="337">
        <v>0</v>
      </c>
      <c r="AW59" s="337">
        <v>0</v>
      </c>
    </row>
    <row r="60" spans="2:49">
      <c r="G60" s="52"/>
      <c r="H60" s="52"/>
      <c r="I60" s="52"/>
      <c r="J60" s="52"/>
      <c r="L60" s="337" t="s">
        <v>536</v>
      </c>
      <c r="M60" s="337" t="s">
        <v>122</v>
      </c>
      <c r="N60" s="337">
        <v>0</v>
      </c>
      <c r="O60" s="337">
        <v>42</v>
      </c>
      <c r="P60" s="337">
        <v>69</v>
      </c>
      <c r="Q60" s="337">
        <v>16</v>
      </c>
      <c r="R60" s="337">
        <v>31</v>
      </c>
      <c r="S60" s="337">
        <v>10</v>
      </c>
      <c r="T60" s="337">
        <v>6</v>
      </c>
      <c r="U60" s="337">
        <v>4</v>
      </c>
      <c r="V60" s="337">
        <v>27</v>
      </c>
      <c r="W60" s="337">
        <v>0</v>
      </c>
      <c r="Y60" s="337" t="s">
        <v>536</v>
      </c>
      <c r="Z60" s="337" t="s">
        <v>122</v>
      </c>
      <c r="AA60" s="337">
        <v>0</v>
      </c>
      <c r="AB60" s="337">
        <v>852</v>
      </c>
      <c r="AC60" s="337">
        <v>3852</v>
      </c>
      <c r="AD60" s="337">
        <v>1100</v>
      </c>
      <c r="AE60" s="337">
        <v>0</v>
      </c>
      <c r="AF60" s="337">
        <v>9250</v>
      </c>
      <c r="AG60" s="337">
        <v>0</v>
      </c>
      <c r="AH60" s="337">
        <v>1300</v>
      </c>
      <c r="AI60" s="337">
        <v>6850</v>
      </c>
      <c r="AJ60" s="337">
        <v>0</v>
      </c>
      <c r="AL60" s="337" t="s">
        <v>536</v>
      </c>
      <c r="AM60" s="337" t="s">
        <v>122</v>
      </c>
      <c r="AN60" s="337">
        <v>0</v>
      </c>
      <c r="AO60" s="337">
        <v>0</v>
      </c>
      <c r="AP60" s="337">
        <v>0</v>
      </c>
      <c r="AQ60" s="337">
        <v>0</v>
      </c>
      <c r="AR60" s="337">
        <v>0</v>
      </c>
      <c r="AS60" s="337">
        <v>0</v>
      </c>
      <c r="AT60" s="337">
        <v>0</v>
      </c>
      <c r="AU60" s="337">
        <v>0</v>
      </c>
      <c r="AV60" s="337">
        <v>0</v>
      </c>
      <c r="AW60" s="337">
        <v>0</v>
      </c>
    </row>
    <row r="61" spans="2:49">
      <c r="L61" s="337" t="s">
        <v>655</v>
      </c>
      <c r="M61" s="337" t="s">
        <v>654</v>
      </c>
      <c r="N61" s="337">
        <v>0</v>
      </c>
      <c r="O61" s="216">
        <v>5</v>
      </c>
      <c r="P61" s="216">
        <v>19</v>
      </c>
      <c r="Q61" s="337">
        <v>0</v>
      </c>
      <c r="R61" s="216">
        <v>23</v>
      </c>
      <c r="S61" s="337">
        <v>0</v>
      </c>
      <c r="T61" s="337">
        <v>4</v>
      </c>
      <c r="U61" s="337">
        <v>0</v>
      </c>
      <c r="V61" s="337">
        <v>0</v>
      </c>
      <c r="W61" s="337">
        <v>0</v>
      </c>
      <c r="Y61" s="337" t="s">
        <v>655</v>
      </c>
      <c r="Z61" s="337" t="s">
        <v>654</v>
      </c>
      <c r="AA61" s="337">
        <v>0</v>
      </c>
      <c r="AB61" s="335">
        <v>510</v>
      </c>
      <c r="AC61" s="335">
        <v>1220</v>
      </c>
      <c r="AD61" s="337">
        <v>0</v>
      </c>
      <c r="AE61" s="335">
        <v>1220</v>
      </c>
      <c r="AF61" s="337">
        <v>0</v>
      </c>
      <c r="AG61" s="337">
        <v>4</v>
      </c>
      <c r="AH61" s="337">
        <v>0</v>
      </c>
      <c r="AI61" s="337">
        <v>0</v>
      </c>
      <c r="AJ61" s="337">
        <v>0</v>
      </c>
      <c r="AL61" s="337" t="s">
        <v>655</v>
      </c>
      <c r="AM61" s="337" t="s">
        <v>654</v>
      </c>
      <c r="AN61" s="337">
        <v>0</v>
      </c>
      <c r="AO61" s="337">
        <v>0</v>
      </c>
      <c r="AP61" s="337">
        <v>0</v>
      </c>
      <c r="AQ61" s="337">
        <v>0</v>
      </c>
      <c r="AR61" s="337">
        <v>0</v>
      </c>
      <c r="AS61" s="337">
        <v>0</v>
      </c>
      <c r="AT61" s="337">
        <v>0</v>
      </c>
      <c r="AU61" s="337">
        <v>0</v>
      </c>
      <c r="AV61" s="337">
        <v>0</v>
      </c>
      <c r="AW61" s="337">
        <v>0</v>
      </c>
    </row>
    <row r="62" spans="2:49">
      <c r="L62" s="337" t="s">
        <v>656</v>
      </c>
      <c r="M62" s="337" t="s">
        <v>654</v>
      </c>
      <c r="N62" s="337">
        <v>0</v>
      </c>
      <c r="O62" s="216">
        <v>5</v>
      </c>
      <c r="P62" s="216">
        <v>19</v>
      </c>
      <c r="Q62" s="337">
        <v>0</v>
      </c>
      <c r="R62" s="216">
        <v>23</v>
      </c>
      <c r="S62" s="337">
        <v>0</v>
      </c>
      <c r="T62" s="337">
        <v>4</v>
      </c>
      <c r="U62" s="337">
        <v>0</v>
      </c>
      <c r="V62" s="337">
        <v>0</v>
      </c>
      <c r="W62" s="337">
        <v>0</v>
      </c>
      <c r="Y62" s="337" t="s">
        <v>656</v>
      </c>
      <c r="Z62" s="337" t="s">
        <v>654</v>
      </c>
      <c r="AA62" s="337">
        <v>0</v>
      </c>
      <c r="AB62" s="335">
        <v>510</v>
      </c>
      <c r="AC62" s="335">
        <v>1220</v>
      </c>
      <c r="AD62" s="337">
        <v>0</v>
      </c>
      <c r="AE62" s="335">
        <v>1220</v>
      </c>
      <c r="AF62" s="337">
        <v>0</v>
      </c>
      <c r="AG62" s="337">
        <v>4</v>
      </c>
      <c r="AH62" s="337">
        <v>0</v>
      </c>
      <c r="AI62" s="337">
        <v>0</v>
      </c>
      <c r="AJ62" s="337">
        <v>0</v>
      </c>
      <c r="AL62" s="337" t="s">
        <v>656</v>
      </c>
      <c r="AM62" s="337" t="s">
        <v>654</v>
      </c>
      <c r="AN62" s="337">
        <v>0</v>
      </c>
      <c r="AO62" s="337">
        <v>0</v>
      </c>
      <c r="AP62" s="337">
        <v>0</v>
      </c>
      <c r="AQ62" s="337">
        <v>0</v>
      </c>
      <c r="AR62" s="337">
        <v>0</v>
      </c>
      <c r="AS62" s="337">
        <v>0</v>
      </c>
      <c r="AT62" s="337">
        <v>0</v>
      </c>
      <c r="AU62" s="337">
        <v>0</v>
      </c>
      <c r="AV62" s="337">
        <v>0</v>
      </c>
      <c r="AW62" s="337">
        <v>0</v>
      </c>
    </row>
    <row r="63" spans="2:49">
      <c r="L63" s="337" t="s">
        <v>657</v>
      </c>
      <c r="M63" s="337" t="s">
        <v>654</v>
      </c>
      <c r="N63" s="337">
        <v>0</v>
      </c>
      <c r="O63" s="216">
        <v>9</v>
      </c>
      <c r="P63" s="216">
        <v>29</v>
      </c>
      <c r="Q63" s="337">
        <v>0</v>
      </c>
      <c r="R63" s="216">
        <v>33</v>
      </c>
      <c r="S63" s="337">
        <v>0</v>
      </c>
      <c r="T63" s="337">
        <v>4</v>
      </c>
      <c r="U63" s="337">
        <v>0</v>
      </c>
      <c r="V63" s="337">
        <v>0</v>
      </c>
      <c r="W63" s="337">
        <v>0</v>
      </c>
      <c r="Y63" s="337" t="s">
        <v>657</v>
      </c>
      <c r="Z63" s="337" t="s">
        <v>654</v>
      </c>
      <c r="AA63" s="337">
        <v>0</v>
      </c>
      <c r="AB63" s="335">
        <v>610</v>
      </c>
      <c r="AC63" s="335">
        <v>950</v>
      </c>
      <c r="AD63" s="337">
        <v>0</v>
      </c>
      <c r="AE63" s="335">
        <v>950</v>
      </c>
      <c r="AF63" s="337">
        <v>0</v>
      </c>
      <c r="AG63" s="337">
        <v>4</v>
      </c>
      <c r="AH63" s="337">
        <v>0</v>
      </c>
      <c r="AI63" s="337">
        <v>0</v>
      </c>
      <c r="AJ63" s="337">
        <v>0</v>
      </c>
      <c r="AL63" s="337" t="s">
        <v>657</v>
      </c>
      <c r="AM63" s="337" t="s">
        <v>654</v>
      </c>
      <c r="AN63" s="337">
        <v>0</v>
      </c>
      <c r="AO63" s="337">
        <v>0</v>
      </c>
      <c r="AP63" s="337">
        <v>0</v>
      </c>
      <c r="AQ63" s="337">
        <v>0</v>
      </c>
      <c r="AR63" s="337">
        <v>0</v>
      </c>
      <c r="AS63" s="337">
        <v>0</v>
      </c>
      <c r="AT63" s="337">
        <v>0</v>
      </c>
      <c r="AU63" s="337">
        <v>0</v>
      </c>
      <c r="AV63" s="337">
        <v>0</v>
      </c>
      <c r="AW63" s="337">
        <v>0</v>
      </c>
    </row>
    <row r="64" spans="2:49">
      <c r="L64" s="337" t="s">
        <v>658</v>
      </c>
      <c r="M64" s="337" t="s">
        <v>654</v>
      </c>
      <c r="N64" s="337">
        <v>0</v>
      </c>
      <c r="O64" s="216">
        <v>9</v>
      </c>
      <c r="P64" s="216">
        <v>29</v>
      </c>
      <c r="Q64" s="337">
        <v>0</v>
      </c>
      <c r="R64" s="216">
        <v>33</v>
      </c>
      <c r="S64" s="337">
        <v>0</v>
      </c>
      <c r="T64" s="337">
        <v>4</v>
      </c>
      <c r="U64" s="337">
        <v>0</v>
      </c>
      <c r="V64" s="337">
        <v>0</v>
      </c>
      <c r="W64" s="337">
        <v>0</v>
      </c>
      <c r="Y64" s="337" t="s">
        <v>658</v>
      </c>
      <c r="Z64" s="337" t="s">
        <v>654</v>
      </c>
      <c r="AA64" s="337">
        <v>0</v>
      </c>
      <c r="AB64" s="335">
        <v>610</v>
      </c>
      <c r="AC64" s="335">
        <v>950</v>
      </c>
      <c r="AD64" s="337">
        <v>0</v>
      </c>
      <c r="AE64" s="335">
        <v>950</v>
      </c>
      <c r="AF64" s="337">
        <v>0</v>
      </c>
      <c r="AG64" s="337">
        <v>4</v>
      </c>
      <c r="AH64" s="337">
        <v>0</v>
      </c>
      <c r="AI64" s="337">
        <v>0</v>
      </c>
      <c r="AJ64" s="337">
        <v>0</v>
      </c>
      <c r="AL64" s="337" t="s">
        <v>658</v>
      </c>
      <c r="AM64" s="337" t="s">
        <v>654</v>
      </c>
      <c r="AN64" s="337">
        <v>0</v>
      </c>
      <c r="AO64" s="337">
        <v>0</v>
      </c>
      <c r="AP64" s="337">
        <v>0</v>
      </c>
      <c r="AQ64" s="337">
        <v>0</v>
      </c>
      <c r="AR64" s="337">
        <v>0</v>
      </c>
      <c r="AS64" s="337">
        <v>0</v>
      </c>
      <c r="AT64" s="337">
        <v>0</v>
      </c>
      <c r="AU64" s="337">
        <v>0</v>
      </c>
      <c r="AV64" s="337">
        <v>0</v>
      </c>
      <c r="AW64" s="337">
        <v>0</v>
      </c>
    </row>
    <row r="65" spans="12:49">
      <c r="L65" s="337" t="s">
        <v>659</v>
      </c>
      <c r="M65" s="337" t="s">
        <v>654</v>
      </c>
      <c r="N65" s="337">
        <v>0</v>
      </c>
      <c r="O65" s="216">
        <v>9</v>
      </c>
      <c r="P65" s="216">
        <v>29</v>
      </c>
      <c r="Q65" s="337">
        <v>0</v>
      </c>
      <c r="R65" s="216">
        <v>33</v>
      </c>
      <c r="S65" s="337">
        <v>0</v>
      </c>
      <c r="T65" s="337">
        <v>4</v>
      </c>
      <c r="U65" s="337">
        <v>0</v>
      </c>
      <c r="V65" s="337">
        <v>0</v>
      </c>
      <c r="W65" s="337">
        <v>0</v>
      </c>
      <c r="Y65" s="337" t="s">
        <v>659</v>
      </c>
      <c r="Z65" s="337" t="s">
        <v>654</v>
      </c>
      <c r="AA65" s="337">
        <v>0</v>
      </c>
      <c r="AB65" s="335">
        <v>610</v>
      </c>
      <c r="AC65" s="335">
        <v>950</v>
      </c>
      <c r="AD65" s="337">
        <v>0</v>
      </c>
      <c r="AE65" s="335">
        <v>950</v>
      </c>
      <c r="AF65" s="337">
        <v>0</v>
      </c>
      <c r="AG65" s="337">
        <v>4</v>
      </c>
      <c r="AH65" s="337">
        <v>0</v>
      </c>
      <c r="AI65" s="337">
        <v>0</v>
      </c>
      <c r="AJ65" s="337">
        <v>0</v>
      </c>
      <c r="AL65" s="337" t="s">
        <v>659</v>
      </c>
      <c r="AM65" s="337" t="s">
        <v>654</v>
      </c>
      <c r="AN65" s="337">
        <v>0</v>
      </c>
      <c r="AO65" s="337">
        <v>0</v>
      </c>
      <c r="AP65" s="337">
        <v>0</v>
      </c>
      <c r="AQ65" s="337">
        <v>0</v>
      </c>
      <c r="AR65" s="337">
        <v>0</v>
      </c>
      <c r="AS65" s="337">
        <v>0</v>
      </c>
      <c r="AT65" s="337">
        <v>0</v>
      </c>
      <c r="AU65" s="337">
        <v>0</v>
      </c>
      <c r="AV65" s="337">
        <v>0</v>
      </c>
      <c r="AW65" s="337">
        <v>0</v>
      </c>
    </row>
    <row r="66" spans="12:49">
      <c r="L66" s="337" t="s">
        <v>660</v>
      </c>
      <c r="M66" s="337" t="s">
        <v>654</v>
      </c>
      <c r="N66" s="337">
        <v>0</v>
      </c>
      <c r="O66" s="216">
        <v>9</v>
      </c>
      <c r="P66" s="216">
        <v>29</v>
      </c>
      <c r="Q66" s="337">
        <v>0</v>
      </c>
      <c r="R66" s="216">
        <v>33</v>
      </c>
      <c r="S66" s="337">
        <v>0</v>
      </c>
      <c r="T66" s="337">
        <v>4</v>
      </c>
      <c r="U66" s="337">
        <v>0</v>
      </c>
      <c r="V66" s="337">
        <v>0</v>
      </c>
      <c r="W66" s="337">
        <v>0</v>
      </c>
      <c r="Y66" s="337" t="s">
        <v>660</v>
      </c>
      <c r="Z66" s="337" t="s">
        <v>654</v>
      </c>
      <c r="AA66" s="337">
        <v>0</v>
      </c>
      <c r="AB66" s="335">
        <v>610</v>
      </c>
      <c r="AC66" s="335">
        <v>950</v>
      </c>
      <c r="AD66" s="337">
        <v>0</v>
      </c>
      <c r="AE66" s="335">
        <v>950</v>
      </c>
      <c r="AF66" s="337">
        <v>0</v>
      </c>
      <c r="AG66" s="337">
        <v>4</v>
      </c>
      <c r="AH66" s="337">
        <v>0</v>
      </c>
      <c r="AI66" s="337">
        <v>0</v>
      </c>
      <c r="AJ66" s="337">
        <v>0</v>
      </c>
      <c r="AL66" s="337" t="s">
        <v>660</v>
      </c>
      <c r="AM66" s="337" t="s">
        <v>654</v>
      </c>
      <c r="AN66" s="337">
        <v>0</v>
      </c>
      <c r="AO66" s="337">
        <v>0</v>
      </c>
      <c r="AP66" s="337">
        <v>0</v>
      </c>
      <c r="AQ66" s="337">
        <v>0</v>
      </c>
      <c r="AR66" s="337">
        <v>0</v>
      </c>
      <c r="AS66" s="337">
        <v>0</v>
      </c>
      <c r="AT66" s="337">
        <v>0</v>
      </c>
      <c r="AU66" s="337">
        <v>0</v>
      </c>
      <c r="AV66" s="337">
        <v>0</v>
      </c>
      <c r="AW66" s="337">
        <v>0</v>
      </c>
    </row>
    <row r="67" spans="12:49">
      <c r="L67" s="337" t="s">
        <v>661</v>
      </c>
      <c r="M67" s="337" t="s">
        <v>654</v>
      </c>
      <c r="N67" s="337">
        <v>0</v>
      </c>
      <c r="O67" s="216">
        <v>8</v>
      </c>
      <c r="P67" s="216">
        <v>30</v>
      </c>
      <c r="Q67" s="337">
        <v>0</v>
      </c>
      <c r="R67" s="216">
        <v>36</v>
      </c>
      <c r="S67" s="337">
        <v>0</v>
      </c>
      <c r="T67" s="337">
        <v>6</v>
      </c>
      <c r="U67" s="337">
        <v>0</v>
      </c>
      <c r="V67" s="337">
        <v>0</v>
      </c>
      <c r="W67" s="337">
        <v>0</v>
      </c>
      <c r="Y67" s="337" t="s">
        <v>661</v>
      </c>
      <c r="Z67" s="337" t="s">
        <v>654</v>
      </c>
      <c r="AA67" s="337">
        <v>0</v>
      </c>
      <c r="AB67" s="335">
        <v>455</v>
      </c>
      <c r="AC67" s="335">
        <v>875</v>
      </c>
      <c r="AD67" s="337">
        <v>0</v>
      </c>
      <c r="AE67" s="335">
        <v>875</v>
      </c>
      <c r="AF67" s="337">
        <v>0</v>
      </c>
      <c r="AG67" s="337">
        <v>6</v>
      </c>
      <c r="AH67" s="337">
        <v>0</v>
      </c>
      <c r="AI67" s="337">
        <v>0</v>
      </c>
      <c r="AJ67" s="337">
        <v>0</v>
      </c>
      <c r="AL67" s="337" t="s">
        <v>661</v>
      </c>
      <c r="AM67" s="337" t="s">
        <v>654</v>
      </c>
      <c r="AN67" s="337">
        <v>0</v>
      </c>
      <c r="AO67" s="337">
        <v>0</v>
      </c>
      <c r="AP67" s="337">
        <v>0</v>
      </c>
      <c r="AQ67" s="337">
        <v>0</v>
      </c>
      <c r="AR67" s="337">
        <v>0</v>
      </c>
      <c r="AS67" s="337">
        <v>0</v>
      </c>
      <c r="AT67" s="337">
        <v>0</v>
      </c>
      <c r="AU67" s="337">
        <v>0</v>
      </c>
      <c r="AV67" s="337">
        <v>0</v>
      </c>
      <c r="AW67" s="337">
        <v>0</v>
      </c>
    </row>
    <row r="68" spans="12:49">
      <c r="L68" s="337" t="s">
        <v>662</v>
      </c>
      <c r="M68" s="337" t="s">
        <v>654</v>
      </c>
      <c r="N68" s="337">
        <v>0</v>
      </c>
      <c r="O68" s="216">
        <v>8</v>
      </c>
      <c r="P68" s="216">
        <v>33</v>
      </c>
      <c r="Q68" s="337">
        <v>0</v>
      </c>
      <c r="R68" s="216">
        <v>39</v>
      </c>
      <c r="S68" s="337">
        <v>0</v>
      </c>
      <c r="T68" s="337">
        <v>6</v>
      </c>
      <c r="U68" s="337">
        <v>0</v>
      </c>
      <c r="V68" s="337">
        <v>0</v>
      </c>
      <c r="W68" s="337">
        <v>0</v>
      </c>
      <c r="Y68" s="337" t="s">
        <v>662</v>
      </c>
      <c r="Z68" s="337" t="s">
        <v>654</v>
      </c>
      <c r="AA68" s="337">
        <v>0</v>
      </c>
      <c r="AB68" s="335">
        <v>455</v>
      </c>
      <c r="AC68" s="335">
        <v>875</v>
      </c>
      <c r="AD68" s="337">
        <v>0</v>
      </c>
      <c r="AE68" s="335">
        <v>875</v>
      </c>
      <c r="AF68" s="337">
        <v>0</v>
      </c>
      <c r="AG68" s="337">
        <v>6</v>
      </c>
      <c r="AH68" s="337">
        <v>0</v>
      </c>
      <c r="AI68" s="337">
        <v>0</v>
      </c>
      <c r="AJ68" s="337">
        <v>0</v>
      </c>
      <c r="AL68" s="337" t="s">
        <v>662</v>
      </c>
      <c r="AM68" s="337" t="s">
        <v>654</v>
      </c>
      <c r="AN68" s="337">
        <v>0</v>
      </c>
      <c r="AO68" s="337">
        <v>0</v>
      </c>
      <c r="AP68" s="337">
        <v>0</v>
      </c>
      <c r="AQ68" s="337">
        <v>0</v>
      </c>
      <c r="AR68" s="337">
        <v>0</v>
      </c>
      <c r="AS68" s="337">
        <v>0</v>
      </c>
      <c r="AT68" s="337">
        <v>0</v>
      </c>
      <c r="AU68" s="337">
        <v>0</v>
      </c>
      <c r="AV68" s="337">
        <v>0</v>
      </c>
      <c r="AW68" s="337">
        <v>0</v>
      </c>
    </row>
    <row r="69" spans="12:49">
      <c r="L69" s="337" t="s">
        <v>663</v>
      </c>
      <c r="M69" s="337" t="s">
        <v>654</v>
      </c>
      <c r="N69" s="337">
        <v>0</v>
      </c>
      <c r="O69" s="216">
        <v>8</v>
      </c>
      <c r="P69" s="216">
        <v>33</v>
      </c>
      <c r="Q69" s="337">
        <v>0</v>
      </c>
      <c r="R69" s="216">
        <v>39</v>
      </c>
      <c r="S69" s="337">
        <v>0</v>
      </c>
      <c r="T69" s="337">
        <v>6</v>
      </c>
      <c r="U69" s="337">
        <v>0</v>
      </c>
      <c r="V69" s="337">
        <v>0</v>
      </c>
      <c r="W69" s="337">
        <v>0</v>
      </c>
      <c r="Y69" s="337" t="s">
        <v>663</v>
      </c>
      <c r="Z69" s="337" t="s">
        <v>654</v>
      </c>
      <c r="AA69" s="337">
        <v>0</v>
      </c>
      <c r="AB69" s="335">
        <v>455</v>
      </c>
      <c r="AC69" s="335">
        <v>875</v>
      </c>
      <c r="AD69" s="337">
        <v>0</v>
      </c>
      <c r="AE69" s="335">
        <v>875</v>
      </c>
      <c r="AF69" s="337">
        <v>0</v>
      </c>
      <c r="AG69" s="337">
        <v>6</v>
      </c>
      <c r="AH69" s="337">
        <v>0</v>
      </c>
      <c r="AI69" s="337">
        <v>0</v>
      </c>
      <c r="AJ69" s="337">
        <v>0</v>
      </c>
      <c r="AL69" s="337" t="s">
        <v>663</v>
      </c>
      <c r="AM69" s="337" t="s">
        <v>654</v>
      </c>
      <c r="AN69" s="337">
        <v>0</v>
      </c>
      <c r="AO69" s="337">
        <v>0</v>
      </c>
      <c r="AP69" s="337">
        <v>0</v>
      </c>
      <c r="AQ69" s="337">
        <v>0</v>
      </c>
      <c r="AR69" s="337">
        <v>0</v>
      </c>
      <c r="AS69" s="337">
        <v>0</v>
      </c>
      <c r="AT69" s="337">
        <v>0</v>
      </c>
      <c r="AU69" s="337">
        <v>0</v>
      </c>
      <c r="AV69" s="337">
        <v>0</v>
      </c>
      <c r="AW69" s="337">
        <v>0</v>
      </c>
    </row>
    <row r="70" spans="12:49">
      <c r="L70" s="337" t="s">
        <v>664</v>
      </c>
      <c r="M70" s="337" t="s">
        <v>654</v>
      </c>
      <c r="N70" s="337">
        <v>0</v>
      </c>
      <c r="O70" s="216">
        <v>8</v>
      </c>
      <c r="P70" s="216">
        <v>33</v>
      </c>
      <c r="Q70" s="337">
        <v>0</v>
      </c>
      <c r="R70" s="216">
        <v>39</v>
      </c>
      <c r="S70" s="337">
        <v>0</v>
      </c>
      <c r="T70" s="337">
        <v>6</v>
      </c>
      <c r="U70" s="337">
        <v>0</v>
      </c>
      <c r="V70" s="337">
        <v>0</v>
      </c>
      <c r="W70" s="337">
        <v>0</v>
      </c>
      <c r="Y70" s="337" t="s">
        <v>664</v>
      </c>
      <c r="Z70" s="337" t="s">
        <v>654</v>
      </c>
      <c r="AA70" s="337">
        <v>0</v>
      </c>
      <c r="AB70" s="335">
        <v>455</v>
      </c>
      <c r="AC70" s="335">
        <v>875</v>
      </c>
      <c r="AD70" s="337">
        <v>0</v>
      </c>
      <c r="AE70" s="335">
        <v>875</v>
      </c>
      <c r="AF70" s="337">
        <v>0</v>
      </c>
      <c r="AG70" s="337">
        <v>6</v>
      </c>
      <c r="AH70" s="337">
        <v>0</v>
      </c>
      <c r="AI70" s="337">
        <v>0</v>
      </c>
      <c r="AJ70" s="337">
        <v>0</v>
      </c>
      <c r="AL70" s="337" t="s">
        <v>664</v>
      </c>
      <c r="AM70" s="337" t="s">
        <v>654</v>
      </c>
      <c r="AN70" s="337">
        <v>0</v>
      </c>
      <c r="AO70" s="337">
        <v>0</v>
      </c>
      <c r="AP70" s="337">
        <v>0</v>
      </c>
      <c r="AQ70" s="337">
        <v>0</v>
      </c>
      <c r="AR70" s="337">
        <v>0</v>
      </c>
      <c r="AS70" s="337">
        <v>0</v>
      </c>
      <c r="AT70" s="337">
        <v>0</v>
      </c>
      <c r="AU70" s="337">
        <v>0</v>
      </c>
      <c r="AV70" s="337">
        <v>0</v>
      </c>
      <c r="AW70" s="337">
        <v>0</v>
      </c>
    </row>
    <row r="71" spans="12:49">
      <c r="L71" s="337" t="s">
        <v>665</v>
      </c>
      <c r="M71" s="337" t="s">
        <v>654</v>
      </c>
      <c r="N71" s="337">
        <v>0</v>
      </c>
      <c r="O71" s="216">
        <v>8</v>
      </c>
      <c r="P71" s="216">
        <v>33</v>
      </c>
      <c r="Q71" s="337">
        <v>0</v>
      </c>
      <c r="R71" s="216">
        <v>39</v>
      </c>
      <c r="S71" s="337">
        <v>0</v>
      </c>
      <c r="T71" s="337">
        <v>6</v>
      </c>
      <c r="U71" s="337">
        <v>0</v>
      </c>
      <c r="V71" s="337">
        <v>0</v>
      </c>
      <c r="W71" s="337">
        <v>0</v>
      </c>
      <c r="Y71" s="337" t="s">
        <v>665</v>
      </c>
      <c r="Z71" s="337" t="s">
        <v>654</v>
      </c>
      <c r="AA71" s="337">
        <v>0</v>
      </c>
      <c r="AB71" s="335">
        <v>455</v>
      </c>
      <c r="AC71" s="335">
        <v>875</v>
      </c>
      <c r="AD71" s="337">
        <v>0</v>
      </c>
      <c r="AE71" s="335">
        <v>875</v>
      </c>
      <c r="AF71" s="337">
        <v>0</v>
      </c>
      <c r="AG71" s="337">
        <v>6</v>
      </c>
      <c r="AH71" s="337">
        <v>0</v>
      </c>
      <c r="AI71" s="337">
        <v>0</v>
      </c>
      <c r="AJ71" s="337">
        <v>0</v>
      </c>
      <c r="AL71" s="337" t="s">
        <v>665</v>
      </c>
      <c r="AM71" s="337" t="s">
        <v>654</v>
      </c>
      <c r="AN71" s="337">
        <v>0</v>
      </c>
      <c r="AO71" s="337">
        <v>0</v>
      </c>
      <c r="AP71" s="337">
        <v>0</v>
      </c>
      <c r="AQ71" s="337">
        <v>0</v>
      </c>
      <c r="AR71" s="337">
        <v>0</v>
      </c>
      <c r="AS71" s="337">
        <v>0</v>
      </c>
      <c r="AT71" s="337">
        <v>0</v>
      </c>
      <c r="AU71" s="337">
        <v>0</v>
      </c>
      <c r="AV71" s="337">
        <v>0</v>
      </c>
      <c r="AW71" s="337">
        <v>0</v>
      </c>
    </row>
    <row r="72" spans="12:49">
      <c r="L72" s="337" t="s">
        <v>666</v>
      </c>
      <c r="M72" s="337" t="s">
        <v>654</v>
      </c>
      <c r="N72" s="337">
        <v>0</v>
      </c>
      <c r="O72" s="216">
        <v>8</v>
      </c>
      <c r="P72" s="216">
        <v>33</v>
      </c>
      <c r="Q72" s="337">
        <v>0</v>
      </c>
      <c r="R72" s="216">
        <v>39</v>
      </c>
      <c r="S72" s="337">
        <v>0</v>
      </c>
      <c r="T72" s="337">
        <v>6</v>
      </c>
      <c r="U72" s="337">
        <v>0</v>
      </c>
      <c r="V72" s="337">
        <v>0</v>
      </c>
      <c r="W72" s="337">
        <v>0</v>
      </c>
      <c r="Y72" s="337" t="s">
        <v>666</v>
      </c>
      <c r="Z72" s="337" t="s">
        <v>654</v>
      </c>
      <c r="AA72" s="337">
        <v>0</v>
      </c>
      <c r="AB72" s="335">
        <v>455</v>
      </c>
      <c r="AC72" s="335">
        <v>875</v>
      </c>
      <c r="AD72" s="337">
        <v>0</v>
      </c>
      <c r="AE72" s="335">
        <v>875</v>
      </c>
      <c r="AF72" s="337">
        <v>0</v>
      </c>
      <c r="AG72" s="337">
        <v>6</v>
      </c>
      <c r="AH72" s="337">
        <v>0</v>
      </c>
      <c r="AI72" s="337">
        <v>0</v>
      </c>
      <c r="AJ72" s="337">
        <v>0</v>
      </c>
      <c r="AL72" s="337" t="s">
        <v>666</v>
      </c>
      <c r="AM72" s="337" t="s">
        <v>654</v>
      </c>
      <c r="AN72" s="337">
        <v>0</v>
      </c>
      <c r="AO72" s="337">
        <v>0</v>
      </c>
      <c r="AP72" s="337">
        <v>0</v>
      </c>
      <c r="AQ72" s="337">
        <v>0</v>
      </c>
      <c r="AR72" s="337">
        <v>0</v>
      </c>
      <c r="AS72" s="337">
        <v>0</v>
      </c>
      <c r="AT72" s="337">
        <v>0</v>
      </c>
      <c r="AU72" s="337">
        <v>0</v>
      </c>
      <c r="AV72" s="337">
        <v>0</v>
      </c>
      <c r="AW72" s="337">
        <v>0</v>
      </c>
    </row>
    <row r="73" spans="12:49">
      <c r="L73" s="337" t="s">
        <v>667</v>
      </c>
      <c r="M73" s="337" t="s">
        <v>654</v>
      </c>
      <c r="N73" s="337">
        <v>0</v>
      </c>
      <c r="O73" s="216">
        <v>8</v>
      </c>
      <c r="P73" s="216">
        <v>33</v>
      </c>
      <c r="Q73" s="337">
        <v>0</v>
      </c>
      <c r="R73" s="216">
        <v>39</v>
      </c>
      <c r="S73" s="337">
        <v>0</v>
      </c>
      <c r="T73" s="337">
        <v>6</v>
      </c>
      <c r="U73" s="337">
        <v>0</v>
      </c>
      <c r="V73" s="337">
        <v>0</v>
      </c>
      <c r="W73" s="337">
        <v>0</v>
      </c>
      <c r="Y73" s="337" t="s">
        <v>667</v>
      </c>
      <c r="Z73" s="337" t="s">
        <v>654</v>
      </c>
      <c r="AA73" s="337">
        <v>0</v>
      </c>
      <c r="AB73" s="335">
        <v>455</v>
      </c>
      <c r="AC73" s="335">
        <v>875</v>
      </c>
      <c r="AD73" s="337">
        <v>0</v>
      </c>
      <c r="AE73" s="335">
        <v>875</v>
      </c>
      <c r="AF73" s="337">
        <v>0</v>
      </c>
      <c r="AG73" s="337">
        <v>6</v>
      </c>
      <c r="AH73" s="337">
        <v>0</v>
      </c>
      <c r="AI73" s="337">
        <v>0</v>
      </c>
      <c r="AJ73" s="337">
        <v>0</v>
      </c>
      <c r="AL73" s="337" t="s">
        <v>667</v>
      </c>
      <c r="AM73" s="337" t="s">
        <v>654</v>
      </c>
      <c r="AN73" s="337">
        <v>0</v>
      </c>
      <c r="AO73" s="337">
        <v>0</v>
      </c>
      <c r="AP73" s="337">
        <v>0</v>
      </c>
      <c r="AQ73" s="337">
        <v>0</v>
      </c>
      <c r="AR73" s="337">
        <v>0</v>
      </c>
      <c r="AS73" s="337">
        <v>0</v>
      </c>
      <c r="AT73" s="337">
        <v>0</v>
      </c>
      <c r="AU73" s="337">
        <v>0</v>
      </c>
      <c r="AV73" s="337">
        <v>0</v>
      </c>
      <c r="AW73" s="337">
        <v>0</v>
      </c>
    </row>
    <row r="74" spans="12:49">
      <c r="L74" s="337" t="s">
        <v>668</v>
      </c>
      <c r="M74" s="337" t="s">
        <v>654</v>
      </c>
      <c r="N74" s="337">
        <v>0</v>
      </c>
      <c r="O74" s="216">
        <v>8</v>
      </c>
      <c r="P74" s="216">
        <v>33</v>
      </c>
      <c r="Q74" s="337">
        <v>0</v>
      </c>
      <c r="R74" s="216">
        <v>39</v>
      </c>
      <c r="S74" s="337">
        <v>0</v>
      </c>
      <c r="T74" s="337">
        <v>6</v>
      </c>
      <c r="U74" s="337">
        <v>0</v>
      </c>
      <c r="V74" s="337">
        <v>0</v>
      </c>
      <c r="W74" s="337">
        <v>0</v>
      </c>
      <c r="Y74" s="337" t="s">
        <v>668</v>
      </c>
      <c r="Z74" s="337" t="s">
        <v>654</v>
      </c>
      <c r="AA74" s="337">
        <v>0</v>
      </c>
      <c r="AB74" s="335">
        <v>455</v>
      </c>
      <c r="AC74" s="335">
        <v>875</v>
      </c>
      <c r="AD74" s="337">
        <v>0</v>
      </c>
      <c r="AE74" s="335">
        <v>875</v>
      </c>
      <c r="AF74" s="337">
        <v>0</v>
      </c>
      <c r="AG74" s="337">
        <v>6</v>
      </c>
      <c r="AH74" s="337">
        <v>0</v>
      </c>
      <c r="AI74" s="337">
        <v>0</v>
      </c>
      <c r="AJ74" s="337">
        <v>0</v>
      </c>
      <c r="AL74" s="337" t="s">
        <v>668</v>
      </c>
      <c r="AM74" s="337" t="s">
        <v>654</v>
      </c>
      <c r="AN74" s="337">
        <v>0</v>
      </c>
      <c r="AO74" s="337">
        <v>0</v>
      </c>
      <c r="AP74" s="337">
        <v>0</v>
      </c>
      <c r="AQ74" s="337">
        <v>0</v>
      </c>
      <c r="AR74" s="337">
        <v>0</v>
      </c>
      <c r="AS74" s="337">
        <v>0</v>
      </c>
      <c r="AT74" s="337">
        <v>0</v>
      </c>
      <c r="AU74" s="337">
        <v>0</v>
      </c>
      <c r="AV74" s="337">
        <v>0</v>
      </c>
      <c r="AW74" s="337">
        <v>0</v>
      </c>
    </row>
    <row r="75" spans="12:49">
      <c r="L75" s="337" t="s">
        <v>669</v>
      </c>
      <c r="M75" s="337" t="s">
        <v>654</v>
      </c>
      <c r="N75" s="337">
        <v>0</v>
      </c>
      <c r="O75" s="216">
        <v>10</v>
      </c>
      <c r="P75" s="216">
        <v>44</v>
      </c>
      <c r="Q75" s="337">
        <v>0</v>
      </c>
      <c r="R75" s="216">
        <v>53</v>
      </c>
      <c r="S75" s="337">
        <v>0</v>
      </c>
      <c r="T75" s="337">
        <v>9</v>
      </c>
      <c r="U75" s="337">
        <v>0</v>
      </c>
      <c r="V75" s="337">
        <v>0</v>
      </c>
      <c r="W75" s="337">
        <v>0</v>
      </c>
      <c r="Y75" s="337" t="s">
        <v>669</v>
      </c>
      <c r="Z75" s="337" t="s">
        <v>654</v>
      </c>
      <c r="AA75" s="337">
        <v>0</v>
      </c>
      <c r="AB75" s="335">
        <v>560</v>
      </c>
      <c r="AC75" s="335">
        <v>1325</v>
      </c>
      <c r="AD75" s="337">
        <v>0</v>
      </c>
      <c r="AE75" s="335">
        <v>1325</v>
      </c>
      <c r="AF75" s="337">
        <v>0</v>
      </c>
      <c r="AG75" s="337">
        <v>9</v>
      </c>
      <c r="AH75" s="337">
        <v>0</v>
      </c>
      <c r="AI75" s="337">
        <v>0</v>
      </c>
      <c r="AJ75" s="337">
        <v>0</v>
      </c>
      <c r="AL75" s="337" t="s">
        <v>669</v>
      </c>
      <c r="AM75" s="337" t="s">
        <v>654</v>
      </c>
      <c r="AN75" s="337">
        <v>0</v>
      </c>
      <c r="AO75" s="337">
        <v>0</v>
      </c>
      <c r="AP75" s="337">
        <v>0</v>
      </c>
      <c r="AQ75" s="337">
        <v>0</v>
      </c>
      <c r="AR75" s="337">
        <v>0</v>
      </c>
      <c r="AS75" s="337">
        <v>0</v>
      </c>
      <c r="AT75" s="337">
        <v>0</v>
      </c>
      <c r="AU75" s="337">
        <v>0</v>
      </c>
      <c r="AV75" s="337">
        <v>0</v>
      </c>
      <c r="AW75" s="337">
        <v>0</v>
      </c>
    </row>
    <row r="76" spans="12:49">
      <c r="L76" s="337" t="s">
        <v>670</v>
      </c>
      <c r="M76" s="337" t="s">
        <v>654</v>
      </c>
      <c r="N76" s="337">
        <v>0</v>
      </c>
      <c r="O76" s="216">
        <v>10</v>
      </c>
      <c r="P76" s="216">
        <v>44</v>
      </c>
      <c r="Q76" s="337">
        <v>0</v>
      </c>
      <c r="R76" s="216">
        <v>53</v>
      </c>
      <c r="S76" s="337">
        <v>0</v>
      </c>
      <c r="T76" s="337">
        <v>9</v>
      </c>
      <c r="U76" s="337">
        <v>0</v>
      </c>
      <c r="V76" s="337">
        <v>0</v>
      </c>
      <c r="W76" s="337">
        <v>0</v>
      </c>
      <c r="Y76" s="337" t="s">
        <v>670</v>
      </c>
      <c r="Z76" s="337" t="s">
        <v>654</v>
      </c>
      <c r="AA76" s="337">
        <v>0</v>
      </c>
      <c r="AB76" s="335">
        <v>560</v>
      </c>
      <c r="AC76" s="335">
        <v>1325</v>
      </c>
      <c r="AD76" s="337">
        <v>0</v>
      </c>
      <c r="AE76" s="335">
        <v>1325</v>
      </c>
      <c r="AF76" s="337">
        <v>0</v>
      </c>
      <c r="AG76" s="337">
        <v>9</v>
      </c>
      <c r="AH76" s="337">
        <v>0</v>
      </c>
      <c r="AI76" s="337">
        <v>0</v>
      </c>
      <c r="AJ76" s="337">
        <v>0</v>
      </c>
      <c r="AL76" s="337" t="s">
        <v>670</v>
      </c>
      <c r="AM76" s="337" t="s">
        <v>654</v>
      </c>
      <c r="AN76" s="337">
        <v>0</v>
      </c>
      <c r="AO76" s="337">
        <v>0</v>
      </c>
      <c r="AP76" s="337">
        <v>0</v>
      </c>
      <c r="AQ76" s="337">
        <v>0</v>
      </c>
      <c r="AR76" s="337">
        <v>0</v>
      </c>
      <c r="AS76" s="337">
        <v>0</v>
      </c>
      <c r="AT76" s="337">
        <v>0</v>
      </c>
      <c r="AU76" s="337">
        <v>0</v>
      </c>
      <c r="AV76" s="337">
        <v>0</v>
      </c>
      <c r="AW76" s="337">
        <v>0</v>
      </c>
    </row>
    <row r="77" spans="12:49">
      <c r="L77" s="337" t="s">
        <v>671</v>
      </c>
      <c r="M77" s="337" t="s">
        <v>654</v>
      </c>
      <c r="N77" s="337">
        <v>0</v>
      </c>
      <c r="O77" s="216">
        <v>10</v>
      </c>
      <c r="P77" s="216">
        <v>44</v>
      </c>
      <c r="Q77" s="337">
        <v>0</v>
      </c>
      <c r="R77" s="216">
        <v>53</v>
      </c>
      <c r="S77" s="337">
        <v>0</v>
      </c>
      <c r="T77" s="337">
        <v>9</v>
      </c>
      <c r="U77" s="337">
        <v>0</v>
      </c>
      <c r="V77" s="337">
        <v>0</v>
      </c>
      <c r="W77" s="337">
        <v>0</v>
      </c>
      <c r="Y77" s="337" t="s">
        <v>671</v>
      </c>
      <c r="Z77" s="337" t="s">
        <v>654</v>
      </c>
      <c r="AA77" s="337">
        <v>0</v>
      </c>
      <c r="AB77" s="335">
        <v>560</v>
      </c>
      <c r="AC77" s="335">
        <v>1325</v>
      </c>
      <c r="AD77" s="337">
        <v>0</v>
      </c>
      <c r="AE77" s="335">
        <v>1325</v>
      </c>
      <c r="AF77" s="337">
        <v>0</v>
      </c>
      <c r="AG77" s="337">
        <v>9</v>
      </c>
      <c r="AH77" s="337">
        <v>0</v>
      </c>
      <c r="AI77" s="337">
        <v>0</v>
      </c>
      <c r="AJ77" s="337">
        <v>0</v>
      </c>
      <c r="AL77" s="337" t="s">
        <v>671</v>
      </c>
      <c r="AM77" s="337" t="s">
        <v>654</v>
      </c>
      <c r="AN77" s="337">
        <v>0</v>
      </c>
      <c r="AO77" s="337">
        <v>0</v>
      </c>
      <c r="AP77" s="337">
        <v>0</v>
      </c>
      <c r="AQ77" s="337">
        <v>0</v>
      </c>
      <c r="AR77" s="337">
        <v>0</v>
      </c>
      <c r="AS77" s="337">
        <v>0</v>
      </c>
      <c r="AT77" s="337">
        <v>0</v>
      </c>
      <c r="AU77" s="337">
        <v>0</v>
      </c>
      <c r="AV77" s="337">
        <v>0</v>
      </c>
      <c r="AW77" s="337">
        <v>0</v>
      </c>
    </row>
    <row r="78" spans="12:49">
      <c r="L78" s="337" t="s">
        <v>672</v>
      </c>
      <c r="M78" s="337" t="s">
        <v>654</v>
      </c>
      <c r="N78" s="337">
        <v>0</v>
      </c>
      <c r="O78" s="216">
        <v>16</v>
      </c>
      <c r="P78" s="216">
        <v>53</v>
      </c>
      <c r="Q78" s="337">
        <v>0</v>
      </c>
      <c r="R78" s="216">
        <v>60</v>
      </c>
      <c r="S78" s="337">
        <v>0</v>
      </c>
      <c r="T78" s="337">
        <v>7</v>
      </c>
      <c r="U78" s="337">
        <v>0</v>
      </c>
      <c r="V78" s="337">
        <v>0</v>
      </c>
      <c r="W78" s="337">
        <v>0</v>
      </c>
      <c r="Y78" s="337" t="s">
        <v>672</v>
      </c>
      <c r="Z78" s="337" t="s">
        <v>654</v>
      </c>
      <c r="AA78" s="337">
        <v>0</v>
      </c>
      <c r="AB78" s="335">
        <v>560</v>
      </c>
      <c r="AC78" s="335">
        <v>1325</v>
      </c>
      <c r="AD78" s="337">
        <v>0</v>
      </c>
      <c r="AE78" s="335">
        <v>1325</v>
      </c>
      <c r="AF78" s="337">
        <v>0</v>
      </c>
      <c r="AG78" s="337">
        <v>7</v>
      </c>
      <c r="AH78" s="337">
        <v>0</v>
      </c>
      <c r="AI78" s="337">
        <v>0</v>
      </c>
      <c r="AJ78" s="337">
        <v>0</v>
      </c>
      <c r="AL78" s="337" t="s">
        <v>672</v>
      </c>
      <c r="AM78" s="337" t="s">
        <v>654</v>
      </c>
      <c r="AN78" s="337">
        <v>0</v>
      </c>
      <c r="AO78" s="337">
        <v>0</v>
      </c>
      <c r="AP78" s="337">
        <v>0</v>
      </c>
      <c r="AQ78" s="337">
        <v>0</v>
      </c>
      <c r="AR78" s="337">
        <v>0</v>
      </c>
      <c r="AS78" s="337">
        <v>0</v>
      </c>
      <c r="AT78" s="337">
        <v>0</v>
      </c>
      <c r="AU78" s="337">
        <v>0</v>
      </c>
      <c r="AV78" s="337">
        <v>0</v>
      </c>
      <c r="AW78" s="337">
        <v>0</v>
      </c>
    </row>
    <row r="79" spans="12:49">
      <c r="L79" s="337" t="s">
        <v>673</v>
      </c>
      <c r="M79" s="337" t="s">
        <v>654</v>
      </c>
      <c r="N79" s="337">
        <v>0</v>
      </c>
      <c r="O79" s="216">
        <v>16</v>
      </c>
      <c r="P79" s="216">
        <v>53</v>
      </c>
      <c r="Q79" s="337">
        <v>0</v>
      </c>
      <c r="R79" s="216">
        <v>60</v>
      </c>
      <c r="S79" s="337">
        <v>0</v>
      </c>
      <c r="T79" s="337">
        <v>7</v>
      </c>
      <c r="U79" s="337">
        <v>0</v>
      </c>
      <c r="V79" s="337">
        <v>0</v>
      </c>
      <c r="W79" s="337">
        <v>0</v>
      </c>
      <c r="Y79" s="337" t="s">
        <v>673</v>
      </c>
      <c r="Z79" s="337" t="s">
        <v>654</v>
      </c>
      <c r="AA79" s="337">
        <v>0</v>
      </c>
      <c r="AB79" s="335">
        <v>560</v>
      </c>
      <c r="AC79" s="335">
        <v>1325</v>
      </c>
      <c r="AD79" s="337">
        <v>0</v>
      </c>
      <c r="AE79" s="335">
        <v>1325</v>
      </c>
      <c r="AF79" s="337">
        <v>0</v>
      </c>
      <c r="AG79" s="337">
        <v>7</v>
      </c>
      <c r="AH79" s="337">
        <v>0</v>
      </c>
      <c r="AI79" s="337">
        <v>0</v>
      </c>
      <c r="AJ79" s="337">
        <v>0</v>
      </c>
      <c r="AL79" s="305" t="s">
        <v>673</v>
      </c>
      <c r="AM79" s="305" t="s">
        <v>654</v>
      </c>
      <c r="AN79" s="305">
        <v>0</v>
      </c>
      <c r="AO79" s="305">
        <v>0</v>
      </c>
      <c r="AP79" s="305">
        <v>0</v>
      </c>
      <c r="AQ79" s="305">
        <v>0</v>
      </c>
      <c r="AR79" s="305">
        <v>0</v>
      </c>
      <c r="AS79" s="305">
        <v>0</v>
      </c>
      <c r="AT79" s="305">
        <v>0</v>
      </c>
      <c r="AU79" s="305">
        <v>0</v>
      </c>
      <c r="AV79" s="305">
        <v>0</v>
      </c>
      <c r="AW79" s="305">
        <v>0</v>
      </c>
    </row>
    <row r="80" spans="12:49">
      <c r="L80" s="407" t="s">
        <v>726</v>
      </c>
      <c r="M80" s="337" t="s">
        <v>734</v>
      </c>
      <c r="N80" s="337">
        <v>0</v>
      </c>
      <c r="O80" s="337">
        <v>0</v>
      </c>
      <c r="P80" s="337">
        <v>0</v>
      </c>
      <c r="Q80" s="337">
        <v>0</v>
      </c>
      <c r="R80" s="337">
        <v>0</v>
      </c>
      <c r="S80" s="337">
        <v>0</v>
      </c>
      <c r="T80" s="337">
        <v>0</v>
      </c>
      <c r="U80" s="337">
        <v>0</v>
      </c>
      <c r="V80" s="337">
        <v>0</v>
      </c>
      <c r="W80" s="337">
        <v>0</v>
      </c>
      <c r="Y80" s="407" t="s">
        <v>726</v>
      </c>
      <c r="Z80" s="337" t="s">
        <v>734</v>
      </c>
      <c r="AA80" s="337">
        <v>0</v>
      </c>
      <c r="AB80" s="337">
        <v>0</v>
      </c>
      <c r="AC80" s="337">
        <v>0</v>
      </c>
      <c r="AD80" s="337">
        <v>0</v>
      </c>
      <c r="AE80" s="337">
        <v>0</v>
      </c>
      <c r="AF80" s="337">
        <v>0</v>
      </c>
      <c r="AG80" s="337">
        <v>0</v>
      </c>
      <c r="AH80" s="337">
        <v>0</v>
      </c>
      <c r="AI80" s="337">
        <v>0</v>
      </c>
      <c r="AJ80" s="337">
        <v>0</v>
      </c>
    </row>
    <row r="81" spans="12:36">
      <c r="L81" s="407" t="s">
        <v>727</v>
      </c>
      <c r="M81" s="337" t="s">
        <v>734</v>
      </c>
      <c r="N81" s="337">
        <v>0</v>
      </c>
      <c r="O81" s="337">
        <v>0</v>
      </c>
      <c r="P81" s="337">
        <v>60</v>
      </c>
      <c r="Q81" s="337">
        <v>0</v>
      </c>
      <c r="R81" s="337">
        <v>0</v>
      </c>
      <c r="S81" s="337">
        <v>0</v>
      </c>
      <c r="T81" s="337">
        <v>0</v>
      </c>
      <c r="U81" s="337">
        <v>0</v>
      </c>
      <c r="V81" s="337">
        <v>0</v>
      </c>
      <c r="W81" s="337">
        <v>0</v>
      </c>
      <c r="Y81" s="407" t="s">
        <v>727</v>
      </c>
      <c r="Z81" s="337" t="s">
        <v>734</v>
      </c>
      <c r="AA81" s="337">
        <v>0</v>
      </c>
      <c r="AB81" s="337">
        <v>0</v>
      </c>
      <c r="AC81" s="337">
        <v>800</v>
      </c>
      <c r="AD81" s="337">
        <v>0</v>
      </c>
      <c r="AE81" s="337">
        <v>0</v>
      </c>
      <c r="AF81" s="337">
        <v>0</v>
      </c>
      <c r="AG81" s="337">
        <v>0</v>
      </c>
      <c r="AH81" s="337">
        <v>0</v>
      </c>
      <c r="AI81" s="337">
        <v>0</v>
      </c>
      <c r="AJ81" s="337">
        <v>0</v>
      </c>
    </row>
    <row r="82" spans="12:36">
      <c r="L82" s="407" t="s">
        <v>728</v>
      </c>
      <c r="M82" s="337" t="s">
        <v>734</v>
      </c>
      <c r="N82" s="337">
        <v>0</v>
      </c>
      <c r="O82" s="337">
        <v>0</v>
      </c>
      <c r="P82" s="337">
        <v>0</v>
      </c>
      <c r="Q82" s="337">
        <v>0</v>
      </c>
      <c r="R82" s="337">
        <v>0</v>
      </c>
      <c r="S82" s="337">
        <v>0</v>
      </c>
      <c r="T82" s="337">
        <v>0</v>
      </c>
      <c r="U82" s="337">
        <v>0</v>
      </c>
      <c r="V82" s="337">
        <v>0</v>
      </c>
      <c r="W82" s="337">
        <v>0</v>
      </c>
      <c r="Y82" s="407" t="s">
        <v>728</v>
      </c>
      <c r="Z82" s="337" t="s">
        <v>734</v>
      </c>
      <c r="AA82" s="337">
        <v>0</v>
      </c>
      <c r="AB82" s="337">
        <v>0</v>
      </c>
      <c r="AC82" s="337">
        <v>0</v>
      </c>
      <c r="AD82" s="337">
        <v>0</v>
      </c>
      <c r="AE82" s="337">
        <v>0</v>
      </c>
      <c r="AF82" s="337">
        <v>0</v>
      </c>
      <c r="AG82" s="337">
        <v>0</v>
      </c>
      <c r="AH82" s="337">
        <v>0</v>
      </c>
      <c r="AI82" s="337">
        <v>0</v>
      </c>
      <c r="AJ82" s="337">
        <v>0</v>
      </c>
    </row>
    <row r="83" spans="12:36">
      <c r="L83" s="407" t="s">
        <v>729</v>
      </c>
      <c r="M83" s="337" t="s">
        <v>734</v>
      </c>
      <c r="N83" s="337">
        <v>0</v>
      </c>
      <c r="O83" s="337">
        <v>0</v>
      </c>
      <c r="P83" s="337">
        <v>0</v>
      </c>
      <c r="Q83" s="337">
        <v>0</v>
      </c>
      <c r="R83" s="337">
        <v>0</v>
      </c>
      <c r="S83" s="337">
        <v>0</v>
      </c>
      <c r="T83" s="337">
        <v>0</v>
      </c>
      <c r="U83" s="337">
        <v>0</v>
      </c>
      <c r="V83" s="337">
        <v>0</v>
      </c>
      <c r="W83" s="337">
        <v>0</v>
      </c>
      <c r="Y83" s="407" t="s">
        <v>729</v>
      </c>
      <c r="Z83" s="337" t="s">
        <v>734</v>
      </c>
      <c r="AA83" s="337">
        <v>0</v>
      </c>
      <c r="AB83" s="337">
        <v>0</v>
      </c>
      <c r="AC83" s="337">
        <v>0</v>
      </c>
      <c r="AD83" s="337">
        <v>0</v>
      </c>
      <c r="AE83" s="337">
        <v>0</v>
      </c>
      <c r="AF83" s="337">
        <v>0</v>
      </c>
      <c r="AG83" s="337">
        <v>0</v>
      </c>
      <c r="AH83" s="337">
        <v>0</v>
      </c>
      <c r="AI83" s="337">
        <v>0</v>
      </c>
      <c r="AJ83" s="337">
        <v>0</v>
      </c>
    </row>
    <row r="84" spans="12:36">
      <c r="L84" s="407" t="s">
        <v>730</v>
      </c>
      <c r="M84" s="337" t="s">
        <v>734</v>
      </c>
      <c r="N84" s="337">
        <v>0</v>
      </c>
      <c r="O84" s="337">
        <v>0</v>
      </c>
      <c r="P84" s="337">
        <v>0</v>
      </c>
      <c r="Q84" s="337">
        <v>0</v>
      </c>
      <c r="R84" s="337">
        <v>0</v>
      </c>
      <c r="S84" s="337">
        <v>0</v>
      </c>
      <c r="T84" s="337">
        <v>0</v>
      </c>
      <c r="U84" s="337">
        <v>0</v>
      </c>
      <c r="V84" s="337">
        <v>0</v>
      </c>
      <c r="W84" s="337">
        <v>0</v>
      </c>
      <c r="Y84" s="407" t="s">
        <v>730</v>
      </c>
      <c r="Z84" s="337" t="s">
        <v>734</v>
      </c>
      <c r="AA84" s="337">
        <v>0</v>
      </c>
      <c r="AB84" s="337">
        <v>0</v>
      </c>
      <c r="AC84" s="337">
        <v>0</v>
      </c>
      <c r="AD84" s="337">
        <v>0</v>
      </c>
      <c r="AE84" s="337">
        <v>0</v>
      </c>
      <c r="AF84" s="337">
        <v>0</v>
      </c>
      <c r="AG84" s="337">
        <v>0</v>
      </c>
      <c r="AH84" s="337">
        <v>0</v>
      </c>
      <c r="AI84" s="337">
        <v>0</v>
      </c>
      <c r="AJ84" s="337">
        <v>0</v>
      </c>
    </row>
    <row r="85" spans="12:36">
      <c r="L85" s="407" t="s">
        <v>731</v>
      </c>
      <c r="M85" s="337" t="s">
        <v>734</v>
      </c>
      <c r="N85" s="337">
        <v>0</v>
      </c>
      <c r="O85" s="337">
        <v>0</v>
      </c>
      <c r="P85" s="337">
        <v>0</v>
      </c>
      <c r="Q85" s="337">
        <v>0</v>
      </c>
      <c r="R85" s="337">
        <v>0</v>
      </c>
      <c r="S85" s="337">
        <v>0</v>
      </c>
      <c r="T85" s="337">
        <v>0</v>
      </c>
      <c r="U85" s="337">
        <v>0</v>
      </c>
      <c r="V85" s="337">
        <v>0</v>
      </c>
      <c r="W85" s="337">
        <v>0</v>
      </c>
      <c r="Y85" s="407" t="s">
        <v>731</v>
      </c>
      <c r="Z85" s="337" t="s">
        <v>734</v>
      </c>
      <c r="AA85" s="337">
        <v>0</v>
      </c>
      <c r="AB85" s="337">
        <v>0</v>
      </c>
      <c r="AC85" s="337">
        <v>0</v>
      </c>
      <c r="AD85" s="337">
        <v>0</v>
      </c>
      <c r="AE85" s="337">
        <v>0</v>
      </c>
      <c r="AF85" s="337">
        <v>0</v>
      </c>
      <c r="AG85" s="337">
        <v>0</v>
      </c>
      <c r="AH85" s="337">
        <v>0</v>
      </c>
      <c r="AI85" s="337">
        <v>0</v>
      </c>
      <c r="AJ85" s="337">
        <v>0</v>
      </c>
    </row>
    <row r="86" spans="12:36">
      <c r="L86" s="407" t="s">
        <v>732</v>
      </c>
      <c r="M86" s="337" t="s">
        <v>734</v>
      </c>
      <c r="N86" s="337">
        <v>0</v>
      </c>
      <c r="O86" s="337">
        <v>0</v>
      </c>
      <c r="P86" s="337">
        <v>0</v>
      </c>
      <c r="Q86" s="337">
        <v>0</v>
      </c>
      <c r="R86" s="337">
        <v>0</v>
      </c>
      <c r="S86" s="337">
        <v>0</v>
      </c>
      <c r="T86" s="337">
        <v>0</v>
      </c>
      <c r="U86" s="337">
        <v>0</v>
      </c>
      <c r="V86" s="337">
        <v>0</v>
      </c>
      <c r="W86" s="337">
        <v>0</v>
      </c>
      <c r="Y86" s="407" t="s">
        <v>732</v>
      </c>
      <c r="Z86" s="337" t="s">
        <v>734</v>
      </c>
      <c r="AA86" s="337">
        <v>0</v>
      </c>
      <c r="AB86" s="337">
        <v>0</v>
      </c>
      <c r="AC86" s="337">
        <v>0</v>
      </c>
      <c r="AD86" s="337">
        <v>0</v>
      </c>
      <c r="AE86" s="337">
        <v>0</v>
      </c>
      <c r="AF86" s="337">
        <v>0</v>
      </c>
      <c r="AG86" s="337">
        <v>0</v>
      </c>
      <c r="AH86" s="337">
        <v>0</v>
      </c>
      <c r="AI86" s="337">
        <v>0</v>
      </c>
      <c r="AJ86" s="337">
        <v>0</v>
      </c>
    </row>
    <row r="87" spans="12:36">
      <c r="L87" s="336" t="s">
        <v>733</v>
      </c>
      <c r="M87" s="337" t="s">
        <v>734</v>
      </c>
      <c r="N87" s="337">
        <v>0</v>
      </c>
      <c r="O87" s="337">
        <v>0</v>
      </c>
      <c r="P87" s="337">
        <v>0</v>
      </c>
      <c r="Q87" s="337">
        <v>0</v>
      </c>
      <c r="R87" s="337">
        <v>0</v>
      </c>
      <c r="S87" s="337">
        <v>0</v>
      </c>
      <c r="T87" s="337">
        <v>0</v>
      </c>
      <c r="U87" s="337">
        <v>0</v>
      </c>
      <c r="V87" s="337">
        <v>0</v>
      </c>
      <c r="W87" s="337">
        <v>0</v>
      </c>
      <c r="Y87" s="337" t="s">
        <v>733</v>
      </c>
      <c r="Z87" s="337" t="s">
        <v>734</v>
      </c>
      <c r="AA87" s="337">
        <v>0</v>
      </c>
      <c r="AB87" s="337">
        <v>0</v>
      </c>
      <c r="AC87" s="337">
        <v>0</v>
      </c>
      <c r="AD87" s="337">
        <v>0</v>
      </c>
      <c r="AE87" s="337">
        <v>0</v>
      </c>
      <c r="AF87" s="337">
        <v>0</v>
      </c>
      <c r="AG87" s="337">
        <v>0</v>
      </c>
      <c r="AH87" s="337">
        <v>0</v>
      </c>
      <c r="AI87" s="337">
        <v>0</v>
      </c>
      <c r="AJ87" s="337">
        <v>0</v>
      </c>
    </row>
  </sheetData>
  <sheetProtection algorithmName="SHA-512" hashValue="FO2pHHlEGh6AqROQiX8uWqZilCVaVPlbFVZ4gFmnQIVdLDiZTUto9uU4Cj/DVzvA+5FMehgdR17L4aQ14qdVGg==" saltValue="JbdgjUOgMFEF4GBZ+/oSbQ==" spinCount="100000" sheet="1" objects="1" scenarios="1"/>
  <mergeCells count="1">
    <mergeCell ref="G54:J54"/>
  </mergeCells>
  <pageMargins left="0.7" right="0.7" top="0.78740157499999996" bottom="0.78740157499999996" header="0.3" footer="0.3"/>
  <pageSetup paperSize="9" orientation="portrait" horizontalDpi="4294967293" r:id="rId1"/>
  <legacyDrawing r:id="rId2"/>
  <tableParts count="4">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35</vt:i4>
      </vt:variant>
    </vt:vector>
  </HeadingPairs>
  <TitlesOfParts>
    <vt:vector size="50" baseType="lpstr">
      <vt:lpstr>Input</vt:lpstr>
      <vt:lpstr>Output decentralized</vt:lpstr>
      <vt:lpstr>Output centralized</vt:lpstr>
      <vt:lpstr>Executive Summary</vt:lpstr>
      <vt:lpstr>Print</vt:lpstr>
      <vt:lpstr>Offer Sheet</vt:lpstr>
      <vt:lpstr>Change</vt:lpstr>
      <vt:lpstr>Cost Calculation</vt:lpstr>
      <vt:lpstr>Scheduled Maintenance</vt:lpstr>
      <vt:lpstr>Unscheduled Maintenance</vt:lpstr>
      <vt:lpstr>Main Component</vt:lpstr>
      <vt:lpstr>Options_neu</vt:lpstr>
      <vt:lpstr>Insurance </vt:lpstr>
      <vt:lpstr>Service Rates </vt:lpstr>
      <vt:lpstr>HelpInput</vt:lpstr>
      <vt:lpstr>Author</vt:lpstr>
      <vt:lpstr>AV</vt:lpstr>
      <vt:lpstr>'Offer Sheet'!Druckbereich</vt:lpstr>
      <vt:lpstr>Print!Druckbereich</vt:lpstr>
      <vt:lpstr>'Output centralized'!Enercon</vt:lpstr>
      <vt:lpstr>Enercon</vt:lpstr>
      <vt:lpstr>FailureProbability</vt:lpstr>
      <vt:lpstr>Fuhrländer</vt:lpstr>
      <vt:lpstr>'Output centralized'!Gamesa</vt:lpstr>
      <vt:lpstr>Gamesa</vt:lpstr>
      <vt:lpstr>Höhe1</vt:lpstr>
      <vt:lpstr>Höhe2</vt:lpstr>
      <vt:lpstr>Höhe3</vt:lpstr>
      <vt:lpstr>Höhe4</vt:lpstr>
      <vt:lpstr>Höhe5</vt:lpstr>
      <vt:lpstr>Höhe6</vt:lpstr>
      <vt:lpstr>Masse1</vt:lpstr>
      <vt:lpstr>Masse2</vt:lpstr>
      <vt:lpstr>Masse3</vt:lpstr>
      <vt:lpstr>Masse4</vt:lpstr>
      <vt:lpstr>Masse5</vt:lpstr>
      <vt:lpstr>Masse6</vt:lpstr>
      <vt:lpstr>Masse7</vt:lpstr>
      <vt:lpstr>Masse8</vt:lpstr>
      <vt:lpstr>Masse9</vt:lpstr>
      <vt:lpstr>NaHö</vt:lpstr>
      <vt:lpstr>NEGMICON</vt:lpstr>
      <vt:lpstr>Nordex</vt:lpstr>
      <vt:lpstr>SENVION</vt:lpstr>
      <vt:lpstr>Siemens</vt:lpstr>
      <vt:lpstr>'Output centralized'!Tabelle90</vt:lpstr>
      <vt:lpstr>Tabelle90</vt:lpstr>
      <vt:lpstr>Table_options</vt:lpstr>
      <vt:lpstr>Vertragsart</vt:lpstr>
      <vt:lpstr>VESTAS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Marianna Thomsen | Vertrieb | Deutsche Windtechnik</dc:creator>
  <cp:lastModifiedBy>Steffen Schroedter</cp:lastModifiedBy>
  <cp:lastPrinted>2018-11-19T12:23:18Z</cp:lastPrinted>
  <dcterms:created xsi:type="dcterms:W3CDTF">2018-05-24T09:14:53Z</dcterms:created>
  <dcterms:modified xsi:type="dcterms:W3CDTF">2018-11-30T06:56:07Z</dcterms:modified>
</cp:coreProperties>
</file>