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808729FF-1413-45C0-8BB8-02B4EEB7514A}" xr6:coauthVersionLast="45" xr6:coauthVersionMax="45" xr10:uidLastSave="{00000000-0000-0000-0000-000000000000}"/>
  <bookViews>
    <workbookView xWindow="-120" yWindow="-120" windowWidth="29040" windowHeight="15840" tabRatio="712" xr2:uid="{00000000-000D-0000-FFFF-FFFF00000000}"/>
  </bookViews>
  <sheets>
    <sheet name="0ATitlePg" sheetId="4" r:id="rId1"/>
    <sheet name="0BUsingThisReport" sheetId="14" r:id="rId2"/>
    <sheet name="1ReduceVMT" sheetId="2" r:id="rId3"/>
    <sheet name="2ReduceCongestion" sheetId="3" r:id="rId4"/>
    <sheet name="3Multimodal" sheetId="6" r:id="rId5"/>
    <sheet name="4EconProsperity" sheetId="7" r:id="rId6"/>
    <sheet name="5Freight" sheetId="8" r:id="rId7"/>
    <sheet name="6Safety" sheetId="9" r:id="rId8"/>
    <sheet name="7SGR" sheetId="10" r:id="rId9"/>
    <sheet name="8SocioEconEquity" sheetId="15"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'4EconProsperity'!$A$68</definedName>
    <definedName name="_Hlk20929868" localSheetId="8">'7SGR'!$A$4</definedName>
    <definedName name="_xlnm.Print_Area" localSheetId="2">'1ReduceVMT'!$A$1:$H$68</definedName>
    <definedName name="_xlnm.Print_Area" localSheetId="4">'3Multimodal'!$A$1:$H$115</definedName>
    <definedName name="_xlnm.Print_Area" localSheetId="6">'5Freight'!$A$1:$H$66</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15" l="1"/>
  <c r="B11" i="15"/>
  <c r="A11" i="15"/>
  <c r="A6" i="15"/>
  <c r="H2" i="15"/>
  <c r="H1" i="15"/>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47" i="7" s="1"/>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E31" i="4"/>
  <c r="A32" i="7"/>
  <c r="Q13" i="5"/>
  <c r="Q7" i="5"/>
  <c r="Q15" i="5" s="1" a="1"/>
  <c r="R13" i="5"/>
  <c r="R7" i="5"/>
  <c r="C22" i="3" s="1"/>
  <c r="B13" i="5"/>
  <c r="B14" i="5"/>
  <c r="B15" i="5"/>
  <c r="B16" i="5"/>
  <c r="B17" i="5"/>
  <c r="B12" i="5"/>
  <c r="C48" i="8" s="1"/>
  <c r="Q14" i="5" l="1" a="1"/>
  <c r="R17" i="5" a="1"/>
  <c r="Q9" i="5" a="1"/>
  <c r="H1" i="6"/>
  <c r="H2" i="10"/>
  <c r="A9" i="6"/>
  <c r="A8" i="9"/>
  <c r="H1" i="9"/>
  <c r="A7" i="10"/>
  <c r="H2" i="6"/>
  <c r="B52" i="6"/>
  <c r="B38" i="9"/>
  <c r="H1" i="7"/>
  <c r="H2" i="9"/>
  <c r="A6" i="8"/>
  <c r="Q9" i="5"/>
  <c r="B22" i="3"/>
  <c r="H1" i="8"/>
  <c r="A10" i="10"/>
  <c r="H2" i="7"/>
  <c r="C52" i="6"/>
  <c r="B48" i="8"/>
  <c r="H1" i="2"/>
  <c r="H2" i="8"/>
  <c r="A38" i="9"/>
  <c r="C38" i="9"/>
  <c r="R14" i="5" a="1"/>
  <c r="Q8" i="5" a="1"/>
  <c r="R16" i="5" a="1"/>
  <c r="H2" i="2"/>
  <c r="A48" i="8"/>
  <c r="Q17" i="5" a="1"/>
  <c r="Q17" i="5" s="1"/>
  <c r="R8" i="5" a="1"/>
  <c r="Q16" i="5" a="1"/>
  <c r="H1" i="3"/>
  <c r="A52" i="6"/>
  <c r="B9" i="6"/>
  <c r="C72" i="9"/>
  <c r="B72" i="9"/>
  <c r="A72" i="9"/>
  <c r="A26" i="3"/>
  <c r="A16" i="6"/>
  <c r="R9" i="5" a="1"/>
  <c r="R15" i="5" a="1"/>
  <c r="H1" i="10"/>
  <c r="H2" i="3"/>
  <c r="C16" i="6"/>
  <c r="C9" i="6"/>
  <c r="B16" i="6"/>
  <c r="Q14" i="5"/>
  <c r="R14" i="5"/>
  <c r="Q16" i="5"/>
  <c r="Q15" i="5"/>
  <c r="Q8" i="5"/>
  <c r="A2" i="4"/>
  <c r="B23" i="3" l="1"/>
  <c r="R16" i="5"/>
  <c r="R15" i="5"/>
  <c r="R9" i="5"/>
  <c r="C23" i="3" s="1"/>
  <c r="R17" i="5"/>
  <c r="R8" i="5"/>
</calcChain>
</file>

<file path=xl/sharedStrings.xml><?xml version="1.0" encoding="utf-8"?>
<sst xmlns="http://schemas.openxmlformats.org/spreadsheetml/2006/main" count="647" uniqueCount="314">
  <si>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</si>
  <si>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</si>
  <si>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</si>
  <si>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</si>
  <si>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</si>
  <si>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</si>
  <si>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</si>
  <si>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</si>
  <si>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</si>
  <si>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</si>
  <si>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</si>
  <si>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</si>
  <si>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</si>
  <si>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</si>
  <si>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</si>
  <si>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</si>
  <si>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</si>
  <si>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</si>
  <si>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</si>
  <si>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</si>
  <si>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</si>
  <si>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</si>
  <si>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</si>
  <si>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</si>
  <si>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</si>
  <si>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</si>
  <si>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</si>
  <si>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</si>
  <si>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</si>
  <si>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</si>
  <si>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</si>
  <si>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</si>
  <si>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</si>
  <si>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</si>
  <si>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</si>
  <si>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</si>
  <si>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</si>
  <si>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</si>
  <si>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</si>
  <si>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</si>
  <si>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</si>
  <si>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</si>
  <si>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</si>
  <si>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</si>
  <si>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</si>
  <si>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</si>
  <si>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</si>
  <si>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</si>
  <si>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</si>
  <si>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</si>
  <si>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</si>
  <si>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</si>
  <si>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</si>
  <si>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</si>
  <si>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</si>
  <si>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</si>
  <si>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</si>
  <si>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</si>
  <si>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</si>
  <si>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</si>
  <si>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</si>
  <si>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</si>
  <si>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</si>
  <si>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</si>
  <si>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</si>
  <si>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</si>
  <si>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</si>
  <si>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</si>
  <si>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</si>
  <si>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</si>
  <si>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</si>
  <si>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</si>
  <si>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</si>
  <si>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</si>
  <si>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</si>
  <si>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</si>
  <si>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</si>
  <si>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</si>
  <si>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</si>
  <si>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</si>
  <si>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</si>
  <si>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</si>
  <si>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</si>
  <si>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</si>
  <si>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</si>
  <si>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</si>
  <si>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</si>
  <si>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</si>
  <si>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</si>
  <si>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</si>
  <si>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</si>
  <si>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</si>
  <si>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</si>
  <si>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</si>
  <si>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</si>
  <si>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</si>
  <si>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</si>
  <si>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</si>
  <si>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</si>
  <si>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</si>
  <si>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</si>
  <si>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</si>
  <si>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</si>
  <si>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</si>
  <si>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</si>
  <si>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</si>
  <si>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</si>
  <si>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</si>
  <si>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</si>
  <si>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</si>
  <si>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</si>
  <si>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</si>
  <si>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</si>
  <si>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</si>
  <si>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</si>
  <si>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</si>
  <si>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</si>
  <si>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</si>
  <si>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</si>
  <si>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</si>
  <si>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</si>
  <si>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</si>
  <si>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</si>
  <si>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</si>
  <si>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</si>
  <si>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</si>
  <si>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</si>
  <si>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</si>
  <si>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</si>
  <si>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</si>
  <si>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</si>
  <si>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</si>
  <si>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</si>
  <si>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</si>
  <si>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</si>
  <si>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</si>
  <si>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</si>
  <si>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</si>
  <si>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</si>
  <si>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</si>
  <si>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</si>
  <si>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</si>
  <si>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</si>
  <si>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</si>
  <si>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</si>
  <si>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</si>
  <si>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</si>
  <si>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</si>
  <si>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</si>
  <si>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</si>
  <si>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</si>
  <si>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</si>
  <si>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</si>
  <si>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</si>
  <si>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</si>
  <si>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</si>
  <si>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</si>
  <si>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</si>
  <si>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</si>
  <si>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</si>
  <si>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</si>
  <si>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</si>
  <si>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</si>
  <si>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</si>
  <si>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</si>
  <si>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</si>
  <si>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</si>
  <si>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</si>
  <si>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</si>
  <si>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</si>
  <si>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</si>
  <si>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</si>
  <si>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</si>
  <si>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</si>
  <si>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</si>
  <si>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</si>
  <si>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</si>
  <si>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</si>
  <si>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</si>
  <si>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</si>
  <si>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</si>
  <si>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</si>
  <si>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</si>
  <si>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</si>
  <si>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</si>
  <si>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</si>
  <si>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</si>
  <si>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</si>
  <si>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</si>
  <si>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</si>
  <si>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</si>
  <si>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</si>
  <si>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</si>
  <si>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</si>
  <si>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</si>
  <si>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</si>
  <si>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</si>
  <si>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</si>
  <si>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</si>
  <si>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</si>
  <si>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</si>
  <si>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</si>
  <si>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</si>
  <si>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</si>
  <si>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</si>
  <si>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</si>
  <si>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</si>
  <si>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</si>
  <si>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</si>
  <si>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</si>
  <si>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</si>
  <si>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</si>
  <si>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</si>
  <si>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</si>
  <si>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</si>
  <si>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</si>
  <si>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</si>
  <si>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</si>
  <si>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</si>
  <si>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</si>
  <si>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</si>
  <si>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</si>
  <si>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</si>
  <si>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</si>
  <si>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</si>
  <si>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</si>
  <si>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</si>
  <si>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</si>
  <si>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</si>
  <si>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</si>
  <si>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</si>
  <si>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</si>
  <si>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</si>
  <si>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</si>
  <si>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</si>
  <si>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</si>
  <si>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</si>
  <si>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</si>
  <si>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</si>
  <si>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</si>
  <si>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</si>
  <si>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</si>
  <si>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</si>
  <si>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</si>
  <si>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</si>
  <si>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</si>
  <si>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</si>
  <si>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</si>
  <si>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</si>
  <si>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</si>
  <si>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</si>
  <si>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</si>
  <si>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</si>
  <si>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</si>
  <si>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</si>
  <si>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</si>
  <si>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</si>
  <si>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</si>
  <si>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</si>
  <si>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</si>
  <si>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</si>
  <si>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</si>
  <si>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</si>
  <si>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</si>
  <si>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</si>
  <si>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</si>
  <si>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</si>
  <si>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</si>
  <si>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</si>
  <si>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</si>
  <si>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</si>
  <si>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</si>
  <si>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</si>
  <si>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</si>
  <si>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</si>
  <si>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</si>
  <si>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</si>
  <si>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</si>
  <si>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</si>
  <si>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</si>
  <si>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</si>
  <si>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</si>
  <si>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</si>
  <si>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</si>
  <si>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</si>
  <si>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</si>
  <si>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</si>
  <si>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</si>
  <si>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</si>
  <si>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</si>
  <si>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</si>
  <si>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</si>
  <si>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Freight Performance Indicator 3: Change in share of industrial jobs within 0.5mi of project location</t>
  </si>
  <si>
    <t>Using This Report</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</si>
  <si>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</si>
  <si>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What this report does</t>
  </si>
  <si>
    <t>What this report does NOT do</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</si>
  <si>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</si>
  <si>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</si>
  <si>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3: K-12 Enrollment within 0.5mi of project location:</t>
  </si>
  <si>
    <t>Economic Prosperity Indicator 4: Education Facility (K12 schools and higher education) Access</t>
  </si>
  <si>
    <t>Economic Prosperity Indicator 5: Change in Ag acreage share within 0.5mi of project location</t>
  </si>
  <si>
    <t>Bike/ped collisions per road centerline mile</t>
  </si>
  <si>
    <t>Safety Indicator 2: Collisions per 100 million VMT</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</si>
  <si>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</si>
  <si>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</si>
  <si>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</si>
  <si>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*The on-project collision rate will be -1.0 if the user did not provide an average daily traffic value.</t>
  </si>
  <si>
    <t>On project segment*</t>
  </si>
  <si>
    <t>Multi-modal indicator 4: Residential Mode Split:</t>
  </si>
  <si>
    <t>NOTE - The 2040 mode split shown below is based on modeled values estimated</t>
  </si>
  <si>
    <t>for SACOG's 2020 MTP-SCS. As with all other 2040 values in this report, they do NOT factor in</t>
  </si>
  <si>
    <t>the potential effects of the project for which this report was generated.</t>
  </si>
  <si>
    <t>Safety Indicator 4: Bike + Ped Collisions per Project Centerline 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</si>
</sst>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8" fillId="0" borderId="0" xfId="0" applyFont="1"/>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0" fontId="25" fillId="0" borderId="0" xfId="0" applyFont="1" applyBorder="1" applyAlignment="1">
      <alignment vertical="center"/>
    </xf>
    <xf numFmtId="0" fontId="16" fillId="0" borderId="0" xfId="0" applyFont="1" applyBorder="1" applyAlignment="1">
      <alignment vertical="center"/>
    </xf>
    <xf numFmtId="49" fontId="31" fillId="0" borderId="0" xfId="0" applyNumberFormat="1" applyFont="1" applyAlignment="1">
      <alignment horizontal="left" vertical="center" indent="5"/>
    </xf>
    <xf numFmtId="0" fontId="21" fillId="0" borderId="0" xfId="0" applyFont="1" applyAlignment="1">
      <alignment vertical="center" wrapText="1"/>
    </xf>
    <xf numFmtId="0" fontId="0" fillId="0" borderId="0" xfId="0" applyAlignment="1">
      <alignment vertical="center" wrapText="1"/>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09E2-4DA4-A13F-8D7437B6E42B}"/>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09E2-4DA4-A13F-8D7437B6E42B}"/>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09E2-4DA4-A13F-8D7437B6E42B}"/>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prstDash val="solid"/>
        </a:ln>
      </c:spPr>
    </c:title>
    <c:autoTitleDeleted val="0"/>
    <c:plotArea>
      <c:layout/>
      <c:barChart>
        <c:barDir val="col"/>
        <c:grouping val="clustered"/>
        <c:varyColors val="0"/>
        <c:ser>
          <c:idx val="0"/>
          <c:order val="0"/>
          <c:tx>
            <c:strRef>
              <c:f>lookup_helper!$D$3</c:f>
              <c:strCache>
                <c:ptCount val="1"/>
                <c:pt idx="0">
                  <c:v>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lookup_helper!$B$7:$B$11</c:f>
              <c:strCache>
                <c:ptCount val="5"/>
                <c:pt idx="0">
                  <c:v>Single-occupant vehicle trips</c:v>
                </c:pt>
                <c:pt idx="1">
                  <c:v>Carpool trips</c:v>
                </c:pt>
                <c:pt idx="2">
                  <c:v>Transit trips</c:v>
                </c:pt>
                <c:pt idx="3">
                  <c:v>Biking trips</c:v>
                </c:pt>
                <c:pt idx="4">
                  <c:v>Walking trips</c:v>
                </c:pt>
              </c:strCache>
            </c:strRef>
          </c:cat>
          <c:val>
            <c:numRef>
              <c:f>lookup_helper!$D$7:$D$11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2-C62D-49B8-9613-A3A302B5F080}"/>
            </c:ext>
          </c:extLst>
        </c:ser>
        <c:ser>
          <c:idx val="1"/>
          <c:order val="1"/>
          <c:tx>
            <c:strRef>
              <c:f>lookup_helper!$E$3</c:f>
              <c:strCache>
                <c:ptCount val="1"/>
                <c:pt idx="0">
                  <c:v>2040</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lookup_helper!$E$7:$E$11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3-C62D-49B8-9613-A3A302B5F080}"/>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D28-498E-9EE0-FF05460081A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2D28-498E-9EE0-FF05460081A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2D28-498E-9EE0-FF05460081A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8390-4D02-8EE7-F8C606E9DD59}"/>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41B-4940-965C-ABA69C009559}"/>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504-43BF-A83A-22BFF19806A4}"/>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7364-4113-A1B5-3110B77A215F}"/>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47</xdr:row>
      <xdr:rowOff>180975</xdr:rowOff>
    </xdr:from>
    <xdr:to>
      <xdr:col>6</xdr:col>
      <xdr:colOff>414338</xdr:colOff>
      <xdr:row>63</xdr:row>
      <xdr:rowOff>104775</xdr:rowOff>
    </xdr:to>
    <xdr:graphicFrame macro="">
      <xdr:nvGraphicFramePr>
        <xdr:cNvPr id="4" name="Chart 3">
          <a:extLst>
            <a:ext uri="{FF2B5EF4-FFF2-40B4-BE49-F238E27FC236}">
              <a16:creationId xmlns:a16="http://schemas.microsoft.com/office/drawing/2014/main" id="{A6CE9B93-48BE-4AFF-8C42-F5426914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43</xdr:row>
      <xdr:rowOff>76200</xdr:rowOff>
    </xdr:from>
    <xdr:to>
      <xdr:col>7</xdr:col>
      <xdr:colOff>195263</xdr:colOff>
      <xdr:row>59</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64</xdr:row>
      <xdr:rowOff>47624</xdr:rowOff>
    </xdr:from>
    <xdr:to>
      <xdr:col>7</xdr:col>
      <xdr:colOff>161924</xdr:colOff>
      <xdr:row>80</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99</xdr:row>
      <xdr:rowOff>0</xdr:rowOff>
    </xdr:from>
    <xdr:to>
      <xdr:col>7</xdr:col>
      <xdr:colOff>38100</xdr:colOff>
      <xdr:row>114</xdr:row>
      <xdr:rowOff>82550</xdr:rowOff>
    </xdr:to>
    <xdr:graphicFrame macro="">
      <xdr:nvGraphicFramePr>
        <xdr:cNvPr id="2" name="Chart 1">
          <a:extLst>
            <a:ext uri="{FF2B5EF4-FFF2-40B4-BE49-F238E27FC236}">
              <a16:creationId xmlns:a16="http://schemas.microsoft.com/office/drawing/2014/main" id="{20D56D8E-7A9C-4950-9976-B43B284F0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50</xdr:row>
      <xdr:rowOff>123825</xdr:rowOff>
    </xdr:from>
    <xdr:to>
      <xdr:col>7</xdr:col>
      <xdr:colOff>1076325</xdr:colOff>
      <xdr:row>64</xdr:row>
      <xdr:rowOff>38100</xdr:rowOff>
    </xdr:to>
    <xdr:graphicFrame macro="">
      <xdr:nvGraphicFramePr>
        <xdr:cNvPr id="6" name="Chart 5">
          <a:extLst>
            <a:ext uri="{FF2B5EF4-FFF2-40B4-BE49-F238E27FC236}">
              <a16:creationId xmlns:a16="http://schemas.microsoft.com/office/drawing/2014/main" id="{B8E35834-2BA2-4D7A-BF50-6E7914C6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70</xdr:row>
      <xdr:rowOff>66675</xdr:rowOff>
    </xdr:from>
    <xdr:to>
      <xdr:col>7</xdr:col>
      <xdr:colOff>152400</xdr:colOff>
      <xdr:row>82</xdr:row>
      <xdr:rowOff>85725</xdr:rowOff>
    </xdr:to>
    <xdr:graphicFrame macro="">
      <xdr:nvGraphicFramePr>
        <xdr:cNvPr id="7" name="Chart 6">
          <a:extLst>
            <a:ext uri="{FF2B5EF4-FFF2-40B4-BE49-F238E27FC236}">
              <a16:creationId xmlns:a16="http://schemas.microsoft.com/office/drawing/2014/main" id="{7C3DBF91-775F-4758-8D58-B7242F139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185737</xdr:colOff>
      <xdr:row>50</xdr:row>
      <xdr:rowOff>152401</xdr:rowOff>
    </xdr:from>
    <xdr:to>
      <xdr:col>5</xdr:col>
      <xdr:colOff>528637</xdr:colOff>
      <xdr:row>64</xdr:row>
      <xdr:rowOff>9525</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27D7BFCF-4808-4B79-824B-AECE275EB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3" name="Chart 2">
          <a:extLst>
            <a:ext uri="{FF2B5EF4-FFF2-40B4-BE49-F238E27FC236}">
              <a16:creationId xmlns:a16="http://schemas.microsoft.com/office/drawing/2014/main" id="{CE7C6310-FF69-48ED-8FB3-9C3FB6273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4" name="Chart 3">
          <a:extLst>
            <a:ext uri="{FF2B5EF4-FFF2-40B4-BE49-F238E27FC236}">
              <a16:creationId xmlns:a16="http://schemas.microsoft.com/office/drawing/2014/main" id="{7BF5CDCC-92C6-41BA-A992-E07E1CE5B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3" t="str">
        <f>"Project Performance Assessment Report: "&amp;import!$B$2</f>
        <v>Project Performance Assessment Report: test_project_YubaCity</v>
      </c>
      <c r="B2" s="93"/>
      <c r="C2" s="93"/>
      <c r="D2" s="93"/>
      <c r="E2" s="93"/>
      <c r="F2" s="93"/>
      <c r="G2" s="93"/>
      <c r="H2" s="93"/>
      <c r="I2" s="93"/>
    </row>
    <row r="3" spans="1:9" x14ac:dyDescent="0.25">
      <c r="A3" s="93"/>
      <c r="B3" s="93"/>
      <c r="C3" s="93"/>
      <c r="D3" s="93"/>
      <c r="E3" s="93"/>
      <c r="F3" s="93"/>
      <c r="G3" s="93"/>
      <c r="H3" s="93"/>
      <c r="I3" s="93"/>
    </row>
    <row r="4" spans="1:9" x14ac:dyDescent="0.25">
      <c r="A4" s="93"/>
      <c r="B4" s="93"/>
      <c r="C4" s="93"/>
      <c r="D4" s="93"/>
      <c r="E4" s="93"/>
      <c r="F4" s="93"/>
      <c r="G4" s="93"/>
      <c r="H4" s="93"/>
      <c r="I4" s="93"/>
    </row>
    <row r="6" spans="1:9" x14ac:dyDescent="0.25">
      <c r="A6" t="s">
        <v>123</v>
      </c>
    </row>
    <row r="30" spans="1:5" ht="21" x14ac:dyDescent="0.25">
      <c r="A30" s="8" t="s">
        <v>124</v>
      </c>
    </row>
    <row r="31" spans="1:5" x14ac:dyDescent="0.25">
      <c r="A31" s="92" t="s">
        <v>129</v>
      </c>
      <c r="B31" s="92"/>
      <c r="C31" s="92"/>
      <c r="D31" s="92"/>
      <c r="E31" s="31" t="str">
        <f>VLOOKUP(A31,lookup_helper!$B$112:$D$119,3,FALSE)</f>
        <v>test_project_YubaCity</v>
      </c>
    </row>
    <row r="32" spans="1:5" x14ac:dyDescent="0.25">
      <c r="A32" s="67" t="s">
        <v>283</v>
      </c>
      <c r="B32" s="67"/>
      <c r="C32" s="67"/>
      <c r="D32" s="67"/>
      <c r="E32" s="31" t="str">
        <f>VLOOKUP(A32,lookup_helper!$B$112:$D$119,3,FALSE)</f>
        <v>anyplace</v>
      </c>
    </row>
    <row r="33" spans="1:9" x14ac:dyDescent="0.25">
      <c r="A33" s="92" t="s">
        <v>130</v>
      </c>
      <c r="B33" s="92"/>
      <c r="C33" s="92"/>
      <c r="D33" s="92"/>
      <c r="E33" s="31" t="str">
        <f>VLOOKUP(A33,lookup_helper!$B$112:$D$119,3,FALSE)</f>
        <v>Freeway</v>
      </c>
    </row>
    <row r="34" spans="1:9" x14ac:dyDescent="0.25">
      <c r="A34" s="92" t="s">
        <v>131</v>
      </c>
      <c r="B34" s="92"/>
      <c r="C34" s="92"/>
      <c r="D34" s="92"/>
      <c r="E34" s="32">
        <f>VLOOKUP(A34,lookup_helper!$B$112:$D$119,3,FALSE)</f>
        <v>60000</v>
      </c>
    </row>
    <row r="35" spans="1:9" x14ac:dyDescent="0.25">
      <c r="A35" s="92" t="s">
        <v>132</v>
      </c>
      <c r="B35" s="92"/>
      <c r="C35" s="92"/>
      <c r="D35" s="92"/>
      <c r="E35" s="32">
        <f>VLOOKUP(A35,lookup_helper!$B$112:$D$119,3,FALSE)</f>
        <v>60</v>
      </c>
    </row>
    <row r="36" spans="1:9" x14ac:dyDescent="0.25">
      <c r="A36" s="92" t="s">
        <v>133</v>
      </c>
      <c r="B36" s="92"/>
      <c r="C36" s="92"/>
      <c r="D36" s="92"/>
      <c r="E36" s="32">
        <f>VLOOKUP(A36,lookup_helper!$B$112:$D$119,3,FALSE)</f>
        <v>65</v>
      </c>
    </row>
    <row r="37" spans="1:9" x14ac:dyDescent="0.25">
      <c r="A37" s="92" t="s">
        <v>252</v>
      </c>
      <c r="B37" s="92"/>
      <c r="C37" s="92"/>
      <c r="D37" s="92"/>
      <c r="E37" s="48">
        <f>VLOOKUP(A37,lookup_helper!$B$112:$D$119,3,FALSE)</f>
        <v>1.41</v>
      </c>
      <c r="F37" s="30"/>
      <c r="G37" s="30"/>
      <c r="H37" s="30"/>
      <c r="I37" s="30"/>
    </row>
    <row r="38" spans="1:9" x14ac:dyDescent="0.25">
      <c r="A38" s="92" t="s">
        <v>134</v>
      </c>
      <c r="B38" s="92"/>
      <c r="C38" s="92"/>
      <c r="D38" s="92"/>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5" t="s">
        <v>304</v>
      </c>
      <c r="B43" s="11"/>
      <c r="C43" s="11"/>
      <c r="D43" s="11"/>
      <c r="E43" s="11"/>
      <c r="F43" s="11"/>
      <c r="G43" s="11"/>
      <c r="H43" s="11"/>
      <c r="I43" s="11"/>
    </row>
    <row r="44" spans="1:9" x14ac:dyDescent="0.25">
      <c r="A44" s="89"/>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291B-9166-4BF1-AFAC-A16B7ED384D4}">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293</v>
      </c>
    </row>
    <row r="4" spans="1:9" x14ac:dyDescent="0.25">
      <c r="B4" s="85"/>
      <c r="C4" s="85"/>
      <c r="D4" s="85"/>
      <c r="E4" s="85"/>
      <c r="F4" s="85"/>
      <c r="G4" s="85"/>
      <c r="H4" s="85"/>
      <c r="I4" s="85"/>
    </row>
    <row r="5" spans="1:9" x14ac:dyDescent="0.25">
      <c r="A5" s="86" t="s">
        <v>295</v>
      </c>
    </row>
    <row r="6" spans="1:9" ht="159" customHeight="1" x14ac:dyDescent="0.25">
      <c r="A6" s="94" t="s">
        <v>305</v>
      </c>
      <c r="B6" s="94"/>
      <c r="C6" s="94"/>
      <c r="D6" s="94"/>
      <c r="E6" s="94"/>
      <c r="F6" s="94"/>
      <c r="G6" s="94"/>
      <c r="H6" s="94"/>
      <c r="I6" s="94"/>
    </row>
    <row r="9" spans="1:9" x14ac:dyDescent="0.25">
      <c r="A9" s="86" t="s">
        <v>296</v>
      </c>
    </row>
    <row r="10" spans="1:9" ht="223.5" customHeight="1" x14ac:dyDescent="0.25">
      <c r="A10" s="94" t="s">
        <v>306</v>
      </c>
      <c r="B10" s="94"/>
      <c r="C10" s="94"/>
      <c r="D10" s="94"/>
      <c r="E10" s="94"/>
      <c r="F10" s="94"/>
      <c r="G10" s="94"/>
      <c r="H10" s="94"/>
      <c r="I10" s="94"/>
    </row>
    <row r="28" spans="1:5" x14ac:dyDescent="0.25">
      <c r="A28" s="67"/>
      <c r="B28" s="67"/>
      <c r="C28" s="67"/>
      <c r="D28" s="67"/>
      <c r="E28" s="31"/>
    </row>
    <row r="29" spans="1:5" x14ac:dyDescent="0.25">
      <c r="A29" s="83"/>
      <c r="E29" s="31"/>
    </row>
    <row r="30" spans="1:5" x14ac:dyDescent="0.25">
      <c r="A30" s="67"/>
      <c r="B30" s="67"/>
      <c r="C30" s="67"/>
      <c r="D30" s="67"/>
      <c r="E30" s="31"/>
    </row>
    <row r="31" spans="1:5" x14ac:dyDescent="0.25">
      <c r="A31" s="67"/>
      <c r="B31" s="67"/>
      <c r="C31" s="67"/>
      <c r="D31" s="67"/>
      <c r="E31" s="31"/>
    </row>
    <row r="32" spans="1:5" x14ac:dyDescent="0.25">
      <c r="A32" s="67"/>
      <c r="B32" s="67"/>
      <c r="C32" s="67"/>
      <c r="D32" s="67"/>
      <c r="E32" s="32"/>
    </row>
    <row r="33" spans="1:9" x14ac:dyDescent="0.25">
      <c r="A33" s="67"/>
      <c r="B33" s="67"/>
      <c r="C33" s="67"/>
      <c r="D33" s="67"/>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5"/>
      <c r="B39" s="11"/>
      <c r="C39" s="11"/>
      <c r="D39" s="11"/>
      <c r="E39" s="11"/>
      <c r="F39" s="11"/>
      <c r="G39" s="11"/>
      <c r="H39" s="11"/>
      <c r="I39" s="11"/>
    </row>
    <row r="40" spans="1:9" x14ac:dyDescent="0.25">
      <c r="A40" s="56"/>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66"/>
  <sheetViews>
    <sheetView view="pageLayout" zoomScaleNormal="100" zoomScaleSheetLayoutView="100" workbookViewId="0">
      <selection activeCell="B32" sqref="B32"/>
    </sheetView>
  </sheetViews>
  <sheetFormatPr defaultRowHeight="15" x14ac:dyDescent="0.25"/>
  <cols>
    <col min="1" max="1" width="24" customWidth="1"/>
  </cols>
  <sheetData>
    <row r="1" spans="1:8" s="46" customFormat="1" x14ac:dyDescent="0.25">
      <c r="H1" s="57" t="str">
        <f>"Project name: "&amp;VLOOKUP("Project name",lookup_helper!$B:$D,3,FALSE)</f>
        <v>Project name: test_project_YubaCity</v>
      </c>
    </row>
    <row r="2" spans="1:8" s="46" customFormat="1" x14ac:dyDescent="0.25">
      <c r="H2" s="57" t="str">
        <f>"Project community type: "&amp;VLOOKUP("Project Community Type",lookup_helper!$B:$D,3,FALSE)</f>
        <v>Project community type: Small-Town Established Communities</v>
      </c>
    </row>
    <row r="4" spans="1:8" ht="17.25" x14ac:dyDescent="0.25">
      <c r="A4" s="12" t="s">
        <v>125</v>
      </c>
    </row>
    <row r="5" spans="1:8" x14ac:dyDescent="0.25">
      <c r="A5" s="29" t="s">
        <v>269</v>
      </c>
    </row>
    <row r="23" spans="1:1" x14ac:dyDescent="0.25">
      <c r="A23" s="29" t="s">
        <v>291</v>
      </c>
    </row>
    <row r="41" spans="1:8" ht="15" customHeight="1" x14ac:dyDescent="0.25">
      <c r="B41" s="68"/>
      <c r="C41" s="68"/>
      <c r="D41" s="68"/>
      <c r="E41" s="68"/>
      <c r="F41" s="68"/>
      <c r="G41" s="68"/>
      <c r="H41" s="68"/>
    </row>
    <row r="42" spans="1:8" ht="93" customHeight="1" x14ac:dyDescent="0.25">
      <c r="A42" s="95" t="s">
        <v>270</v>
      </c>
      <c r="B42" s="95"/>
      <c r="C42" s="95"/>
      <c r="D42" s="95"/>
      <c r="E42" s="95"/>
      <c r="F42" s="95"/>
      <c r="G42" s="95"/>
      <c r="H42" s="95"/>
    </row>
    <row r="43" spans="1:8" x14ac:dyDescent="0.25">
      <c r="A43" s="68"/>
      <c r="B43" s="68"/>
      <c r="C43" s="68"/>
      <c r="D43" s="68"/>
      <c r="E43" s="68"/>
      <c r="F43" s="68"/>
      <c r="G43" s="68"/>
      <c r="H43" s="68"/>
    </row>
    <row r="44" spans="1:8" ht="30" customHeight="1" x14ac:dyDescent="0.25">
      <c r="A44" s="68"/>
      <c r="B44" s="68"/>
      <c r="C44" s="68"/>
      <c r="D44" s="68"/>
      <c r="E44" s="68"/>
      <c r="F44" s="68"/>
      <c r="G44" s="68"/>
      <c r="H44" s="68"/>
    </row>
    <row r="47" spans="1:8" x14ac:dyDescent="0.25">
      <c r="A47" s="29" t="s">
        <v>297</v>
      </c>
    </row>
    <row r="66" spans="1:8" ht="130.5" customHeight="1" x14ac:dyDescent="0.25">
      <c r="A66" s="96" t="s">
        <v>298</v>
      </c>
      <c r="B66" s="96"/>
      <c r="C66" s="96"/>
      <c r="D66" s="96"/>
      <c r="E66" s="96"/>
      <c r="F66" s="96"/>
      <c r="G66" s="96"/>
      <c r="H66" s="96"/>
    </row>
  </sheetData>
  <mergeCells count="2">
    <mergeCell ref="A42:H42"/>
    <mergeCell ref="A66:H66"/>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4"/>
  <sheetViews>
    <sheetView view="pageLayout" zoomScaleNormal="100" workbookViewId="0">
      <selection activeCell="B32" sqref="B32"/>
    </sheetView>
  </sheetViews>
  <sheetFormatPr defaultRowHeight="15" x14ac:dyDescent="0.25"/>
  <cols>
    <col min="1" max="1" width="22.5703125" customWidth="1"/>
    <col min="8" max="8" width="11"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8"/>
    </row>
    <row r="4" spans="1:8" ht="17.25" x14ac:dyDescent="0.25">
      <c r="A4" s="12" t="s">
        <v>126</v>
      </c>
    </row>
    <row r="5" spans="1:8" x14ac:dyDescent="0.25">
      <c r="A5" s="29" t="s">
        <v>285</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5" t="s">
        <v>286</v>
      </c>
      <c r="B22" s="73" t="str">
        <f>lookup_helper!Q7</f>
        <v>EB</v>
      </c>
      <c r="C22" s="73" t="str">
        <f>lookup_helper!R7</f>
        <v>WB</v>
      </c>
    </row>
    <row r="23" spans="1:8" ht="30" x14ac:dyDescent="0.25">
      <c r="A23" s="74" t="s">
        <v>289</v>
      </c>
      <c r="B23" s="82">
        <f>IFERROR(lookup_helper!Q9/lookup_helper!Q8,0)</f>
        <v>0.62906584321456371</v>
      </c>
      <c r="C23" s="82">
        <f>IFERROR(lookup_helper!R9/lookup_helper!R8,0)</f>
        <v>0.81902208942477273</v>
      </c>
    </row>
    <row r="25" spans="1:8" ht="15.75" thickBot="1" x14ac:dyDescent="0.3">
      <c r="A25" s="83" t="s">
        <v>131</v>
      </c>
      <c r="C25" s="70"/>
    </row>
    <row r="26" spans="1:8" ht="15.75" thickBot="1" x14ac:dyDescent="0.3">
      <c r="A26" s="84">
        <f>VLOOKUP(A25,lookup_helper!$B:$D,3,FALSE)</f>
        <v>60000</v>
      </c>
    </row>
    <row r="27" spans="1:8" x14ac:dyDescent="0.25">
      <c r="D27" s="71"/>
      <c r="E27" s="71"/>
      <c r="F27" s="71"/>
      <c r="G27" s="71"/>
      <c r="H27" s="71"/>
    </row>
    <row r="28" spans="1:8" x14ac:dyDescent="0.25">
      <c r="A28" s="69"/>
      <c r="B28" s="72"/>
      <c r="C28" s="72"/>
      <c r="D28" s="71"/>
      <c r="E28" s="71"/>
      <c r="F28" s="71"/>
      <c r="G28" s="71"/>
      <c r="H28" s="71"/>
    </row>
    <row r="29" spans="1:8" ht="67.5" customHeight="1" x14ac:dyDescent="0.25">
      <c r="A29" s="96" t="s">
        <v>294</v>
      </c>
      <c r="B29" s="96"/>
      <c r="C29" s="96"/>
      <c r="D29" s="96"/>
      <c r="E29" s="96"/>
      <c r="F29" s="96"/>
      <c r="G29" s="96"/>
      <c r="H29" s="96"/>
    </row>
    <row r="31" spans="1:8" x14ac:dyDescent="0.25">
      <c r="A31" s="71"/>
      <c r="B31" s="71"/>
      <c r="C31" s="71"/>
      <c r="D31" s="71"/>
      <c r="E31" s="71"/>
      <c r="F31" s="71"/>
      <c r="G31" s="71"/>
      <c r="H31" s="71"/>
    </row>
    <row r="32" spans="1:8" x14ac:dyDescent="0.25">
      <c r="A32" s="71"/>
      <c r="B32" s="71"/>
      <c r="C32" s="71"/>
      <c r="D32" s="71"/>
      <c r="E32" s="71"/>
      <c r="F32" s="71"/>
      <c r="G32" s="71"/>
      <c r="H32" s="71"/>
    </row>
    <row r="33" spans="1:8" x14ac:dyDescent="0.25">
      <c r="A33" s="71"/>
      <c r="B33" s="71"/>
      <c r="C33" s="71"/>
      <c r="D33" s="71"/>
      <c r="E33" s="71"/>
      <c r="F33" s="71"/>
      <c r="G33" s="71"/>
      <c r="H33" s="71"/>
    </row>
    <row r="34" spans="1:8" x14ac:dyDescent="0.25">
      <c r="A34" s="71"/>
      <c r="B34" s="71"/>
      <c r="C34" s="71"/>
      <c r="D34" s="71"/>
      <c r="E34" s="71"/>
      <c r="F34" s="71"/>
      <c r="G34" s="71"/>
      <c r="H34" s="71"/>
    </row>
    <row r="35" spans="1:8" x14ac:dyDescent="0.25">
      <c r="A35" s="71"/>
      <c r="B35" s="71"/>
      <c r="C35" s="71"/>
      <c r="D35" s="71"/>
      <c r="E35" s="71"/>
      <c r="F35" s="71"/>
      <c r="G35" s="71"/>
      <c r="H35" s="71"/>
    </row>
    <row r="36" spans="1:8" x14ac:dyDescent="0.25">
      <c r="A36" s="71"/>
      <c r="B36" s="71"/>
      <c r="C36" s="71"/>
      <c r="D36" s="71"/>
      <c r="E36" s="71"/>
      <c r="F36" s="71"/>
      <c r="G36" s="71"/>
      <c r="H36" s="71"/>
    </row>
    <row r="43" spans="1:8" x14ac:dyDescent="0.25">
      <c r="A43" s="29" t="s">
        <v>290</v>
      </c>
    </row>
    <row r="61" spans="1:8" ht="42" customHeight="1" x14ac:dyDescent="0.25">
      <c r="A61" s="96" t="s">
        <v>277</v>
      </c>
      <c r="B61" s="96"/>
      <c r="C61" s="96"/>
      <c r="D61" s="96"/>
      <c r="E61" s="96"/>
      <c r="F61" s="96"/>
      <c r="G61" s="96"/>
      <c r="H61" s="96"/>
    </row>
    <row r="64" spans="1:8" x14ac:dyDescent="0.25">
      <c r="A64" s="29" t="s">
        <v>287</v>
      </c>
    </row>
  </sheetData>
  <mergeCells count="2">
    <mergeCell ref="A61:H61"/>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98"/>
  <sheetViews>
    <sheetView view="pageLayout" zoomScaleNormal="100" zoomScaleSheetLayoutView="100" workbookViewId="0"/>
  </sheetViews>
  <sheetFormatPr defaultRowHeight="15" x14ac:dyDescent="0.25"/>
  <cols>
    <col min="1" max="1" width="17.7109375" customWidth="1"/>
    <col min="2" max="2" width="17.5703125" customWidth="1"/>
    <col min="3" max="3" width="15.28515625" customWidth="1"/>
    <col min="4" max="5" width="5.42578125" customWidth="1"/>
    <col min="8" max="8" width="14.8554687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223</v>
      </c>
    </row>
    <row r="5" spans="1:9" ht="27.75" customHeight="1" x14ac:dyDescent="0.25">
      <c r="A5" s="97" t="s">
        <v>224</v>
      </c>
      <c r="B5" s="97"/>
      <c r="C5" s="97"/>
      <c r="D5" s="97"/>
      <c r="E5" s="97"/>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7" t="s">
        <v>225</v>
      </c>
      <c r="B12" s="97"/>
      <c r="C12" s="97"/>
      <c r="D12" s="97"/>
      <c r="E12" s="97"/>
      <c r="F12" s="36"/>
      <c r="G12" s="36"/>
      <c r="H12" s="36"/>
      <c r="I12" s="36"/>
    </row>
    <row r="14" spans="1:9" ht="15.75" thickBot="1" x14ac:dyDescent="0.3">
      <c r="A14" s="98" t="s">
        <v>236</v>
      </c>
      <c r="B14" s="98"/>
      <c r="C14" s="98"/>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274</v>
      </c>
    </row>
    <row r="56" spans="1:3" x14ac:dyDescent="0.25">
      <c r="A56" t="s">
        <v>229</v>
      </c>
    </row>
    <row r="95" spans="1:1" x14ac:dyDescent="0.25">
      <c r="A95" s="29" t="s">
        <v>309</v>
      </c>
    </row>
    <row r="96" spans="1:1" x14ac:dyDescent="0.25">
      <c r="A96" s="46" t="s">
        <v>310</v>
      </c>
    </row>
    <row r="97" spans="1:1" x14ac:dyDescent="0.25">
      <c r="A97" s="46" t="s">
        <v>311</v>
      </c>
    </row>
    <row r="98" spans="1:1" x14ac:dyDescent="0.25">
      <c r="A98" s="46" t="s">
        <v>312</v>
      </c>
    </row>
  </sheetData>
  <mergeCells count="3">
    <mergeCell ref="A12:E12"/>
    <mergeCell ref="A5:E5"/>
    <mergeCell ref="A14:C14"/>
  </mergeCells>
  <pageMargins left="0.7" right="0.7" top="0.75" bottom="0.75" header="0.3" footer="0.3"/>
  <pageSetup scale="90" orientation="portrait" r:id="rId1"/>
  <rowBreaks count="2" manualBreakCount="2">
    <brk id="42" max="7" man="1"/>
    <brk id="91" max="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70"/>
  <sheetViews>
    <sheetView view="pageLayout" zoomScaleNormal="100" workbookViewId="0">
      <selection activeCell="B32" sqref="B32"/>
    </sheetView>
  </sheetViews>
  <sheetFormatPr defaultRowHeight="15" x14ac:dyDescent="0.25"/>
  <cols>
    <col min="8" max="8" width="18.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230</v>
      </c>
    </row>
    <row r="5" spans="1:8" ht="75" customHeight="1" x14ac:dyDescent="0.25">
      <c r="A5" s="99" t="s">
        <v>288</v>
      </c>
      <c r="B5" s="99"/>
      <c r="C5" s="99"/>
      <c r="D5" s="99"/>
      <c r="E5" s="99"/>
      <c r="F5" s="99"/>
      <c r="G5" s="99"/>
      <c r="H5" s="99"/>
    </row>
    <row r="6" spans="1:8" x14ac:dyDescent="0.25">
      <c r="A6" s="76"/>
      <c r="B6" s="76"/>
      <c r="C6" s="76"/>
      <c r="D6" s="76"/>
      <c r="E6" s="76"/>
      <c r="F6" s="76"/>
      <c r="G6" s="76"/>
      <c r="H6" s="76"/>
    </row>
    <row r="7" spans="1:8" x14ac:dyDescent="0.25">
      <c r="A7" s="29"/>
    </row>
    <row r="8" spans="1:8" ht="15.75" x14ac:dyDescent="0.25">
      <c r="A8" s="33" t="s">
        <v>272</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232</v>
      </c>
    </row>
    <row r="32" spans="1:1" ht="15.75" thickBot="1" x14ac:dyDescent="0.3">
      <c r="A32" s="52">
        <f>lookup_helper!E81-lookup_helper!D81</f>
        <v>992.65999999999894</v>
      </c>
    </row>
    <row r="44" spans="1:1" ht="15" customHeight="1" x14ac:dyDescent="0.25">
      <c r="A44" s="33" t="s">
        <v>273</v>
      </c>
    </row>
    <row r="45" spans="1:1" ht="15" customHeight="1" x14ac:dyDescent="0.25">
      <c r="A45" s="33"/>
    </row>
    <row r="46" spans="1:1" ht="15.75" thickBot="1" x14ac:dyDescent="0.3">
      <c r="A46" s="29" t="s">
        <v>299</v>
      </c>
    </row>
    <row r="47" spans="1:1" ht="15.75" thickBot="1" x14ac:dyDescent="0.3">
      <c r="A47" s="53">
        <f>lookup_helper!D55</f>
        <v>657</v>
      </c>
    </row>
    <row r="50" spans="1:1" x14ac:dyDescent="0.25">
      <c r="A50" s="29" t="s">
        <v>300</v>
      </c>
    </row>
    <row r="65" spans="1:1" s="18" customFormat="1" ht="15.75" x14ac:dyDescent="0.25">
      <c r="A65" s="87"/>
    </row>
    <row r="66" spans="1:1" s="18" customFormat="1" x14ac:dyDescent="0.25">
      <c r="A66" s="88"/>
    </row>
    <row r="67" spans="1:1" s="18" customFormat="1" x14ac:dyDescent="0.25"/>
    <row r="68" spans="1:1" ht="15.75" x14ac:dyDescent="0.25">
      <c r="A68" s="33" t="s">
        <v>239</v>
      </c>
    </row>
    <row r="69" spans="1:1" ht="15.75" x14ac:dyDescent="0.25">
      <c r="A69" s="33"/>
    </row>
    <row r="70" spans="1:1" x14ac:dyDescent="0.25">
      <c r="A70" s="29" t="s">
        <v>301</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50"/>
  <sheetViews>
    <sheetView view="pageLayout" zoomScaleNormal="100" zoomScaleSheetLayoutView="100" workbookViewId="0">
      <selection activeCell="G39" sqref="G39"/>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240</v>
      </c>
    </row>
    <row r="5" spans="1:9" ht="37.5" customHeight="1" x14ac:dyDescent="0.25">
      <c r="A5" s="100" t="s">
        <v>271</v>
      </c>
      <c r="B5" s="100"/>
      <c r="C5" s="100"/>
      <c r="D5" s="100"/>
      <c r="E5" s="100"/>
      <c r="F5" s="100"/>
      <c r="G5" s="100"/>
      <c r="H5" s="100"/>
      <c r="I5" s="54"/>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5" t="s">
        <v>241</v>
      </c>
      <c r="B8" s="95"/>
      <c r="C8" s="95"/>
      <c r="D8" s="95"/>
      <c r="E8" s="95"/>
      <c r="F8" s="95"/>
      <c r="G8" s="95"/>
      <c r="H8" s="95"/>
      <c r="I8" s="54"/>
    </row>
    <row r="10" spans="1:9" x14ac:dyDescent="0.25">
      <c r="A10" s="29" t="s">
        <v>242</v>
      </c>
    </row>
    <row r="11" spans="1:9" x14ac:dyDescent="0.25">
      <c r="A11" t="s">
        <v>243</v>
      </c>
    </row>
    <row r="45" spans="1:3" x14ac:dyDescent="0.25">
      <c r="A45" s="29" t="s">
        <v>244</v>
      </c>
    </row>
    <row r="46" spans="1:3" ht="15.75" thickBot="1" x14ac:dyDescent="0.3">
      <c r="A46" s="41" t="s">
        <v>193</v>
      </c>
    </row>
    <row r="47" spans="1:3" ht="45.75" thickBot="1" x14ac:dyDescent="0.3">
      <c r="A47" s="34" t="s">
        <v>278</v>
      </c>
      <c r="B47" s="35" t="s">
        <v>234</v>
      </c>
      <c r="C47" s="35" t="s">
        <v>235</v>
      </c>
    </row>
    <row r="48" spans="1:3" ht="15.75" thickBot="1" x14ac:dyDescent="0.3">
      <c r="A48" s="42">
        <f>VLOOKUP($A46,lookup_helper!$B:$I,MATCH("projval_2016",lookup_helper!$1:$1,0)-1,FALSE)</f>
        <v>7.072357263990954E-2</v>
      </c>
      <c r="B48" s="42">
        <f>VLOOKUP($A46,lookup_helper!$B:$I,MATCH("CommunityType_2016",lookup_helper!$B$1:$I$1,0),FALSE)</f>
        <v>0.1343871705182399</v>
      </c>
      <c r="C48" s="42">
        <f>VLOOKUP($A46,lookup_helper!$B:$I,MATCH("REGION_2016",lookup_helper!$B$1:$I$1,0),FALSE)</f>
        <v>0.13021497769289109</v>
      </c>
    </row>
    <row r="50" spans="1:1" x14ac:dyDescent="0.25">
      <c r="A50" s="29" t="s">
        <v>292</v>
      </c>
    </row>
  </sheetData>
  <mergeCells count="2">
    <mergeCell ref="A8:H8"/>
    <mergeCell ref="A5:H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zoomScaleNormal="100" workbookViewId="0">
      <selection activeCell="A70" sqref="A70"/>
    </sheetView>
  </sheetViews>
  <sheetFormatPr defaultRowHeight="15" x14ac:dyDescent="0.25"/>
  <cols>
    <col min="1" max="1" width="14.7109375" customWidth="1"/>
    <col min="2" max="2" width="15.425781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245</v>
      </c>
    </row>
    <row r="5" spans="1:8" s="28" customFormat="1" ht="35.25" customHeight="1" x14ac:dyDescent="0.25">
      <c r="A5" s="95" t="s">
        <v>246</v>
      </c>
      <c r="B5" s="95"/>
      <c r="C5" s="95"/>
      <c r="D5" s="95"/>
      <c r="E5" s="95"/>
      <c r="F5" s="95"/>
      <c r="G5" s="95"/>
      <c r="H5" s="95"/>
    </row>
    <row r="7" spans="1:8" x14ac:dyDescent="0.25">
      <c r="A7" s="29" t="s">
        <v>248</v>
      </c>
    </row>
    <row r="8" spans="1:8" x14ac:dyDescent="0.25">
      <c r="A8" s="43">
        <f>VLOOKUP(lookup_helper!B86,lookup_helper!$B:$D,3,FALSE)</f>
        <v>56</v>
      </c>
    </row>
    <row r="11" spans="1:8" x14ac:dyDescent="0.25">
      <c r="A11" s="41" t="s">
        <v>247</v>
      </c>
    </row>
    <row r="12" spans="1:8" x14ac:dyDescent="0.25">
      <c r="A12" t="s">
        <v>249</v>
      </c>
    </row>
    <row r="34" spans="1:3" x14ac:dyDescent="0.25">
      <c r="A34" s="29" t="s">
        <v>303</v>
      </c>
    </row>
    <row r="35" spans="1:3" x14ac:dyDescent="0.25">
      <c r="A35" s="29"/>
    </row>
    <row r="36" spans="1:3" ht="15.75" thickBot="1" x14ac:dyDescent="0.3">
      <c r="A36" s="46" t="s">
        <v>149</v>
      </c>
    </row>
    <row r="37" spans="1:3" ht="45.75" thickBot="1" x14ac:dyDescent="0.3">
      <c r="A37" s="34" t="s">
        <v>308</v>
      </c>
      <c r="B37" s="35" t="s">
        <v>234</v>
      </c>
      <c r="C37" s="35" t="s">
        <v>235</v>
      </c>
    </row>
    <row r="38" spans="1:3" ht="15.75" thickBot="1" x14ac:dyDescent="0.3">
      <c r="A38" s="47">
        <f>VLOOKUP($A36,lookup_helper!$B:$I,MATCH("projval_2016",lookup_helper!$1:$1,0)-1,FALSE)</f>
        <v>41.285465803940781</v>
      </c>
      <c r="B38" s="47">
        <f>VLOOKUP($A36,lookup_helper!$B:$I,MATCH("CommunityType_2016",lookup_helper!$B$1:$I$1,0),FALSE)</f>
        <v>61.135362311155802</v>
      </c>
      <c r="C38" s="47">
        <f>VLOOKUP($A36,lookup_helper!$B:$I,MATCH("REGION_2016",lookup_helper!$B$1:$I$1,0),FALSE)</f>
        <v>63.369834818958772</v>
      </c>
    </row>
    <row r="39" spans="1:3" x14ac:dyDescent="0.25">
      <c r="A39" t="s">
        <v>307</v>
      </c>
    </row>
    <row r="48" spans="1:3" x14ac:dyDescent="0.25">
      <c r="A48" s="29" t="s">
        <v>250</v>
      </c>
    </row>
    <row r="69" spans="1:3" x14ac:dyDescent="0.25">
      <c r="A69" s="29" t="s">
        <v>313</v>
      </c>
    </row>
    <row r="70" spans="1:3" ht="15.75" thickBot="1" x14ac:dyDescent="0.3">
      <c r="A70" s="83" t="s">
        <v>302</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F6" sqref="F6"/>
    </sheetView>
  </sheetViews>
  <sheetFormatPr defaultRowHeight="15" x14ac:dyDescent="0.25"/>
  <cols>
    <col min="7" max="7" width="15.7109375" customWidth="1"/>
    <col min="8" max="8" width="14.8554687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253</v>
      </c>
    </row>
    <row r="6" spans="1:8" x14ac:dyDescent="0.25">
      <c r="A6" s="29" t="s">
        <v>254</v>
      </c>
    </row>
    <row r="7" spans="1:8" x14ac:dyDescent="0.25">
      <c r="A7" s="43">
        <f>VLOOKUP("Project Pavement Condition Index (PCI)",lookup_helper!$B:$D,3,FALSE)</f>
        <v>60</v>
      </c>
    </row>
    <row r="9" spans="1:8" x14ac:dyDescent="0.25">
      <c r="A9" s="29" t="s">
        <v>255</v>
      </c>
    </row>
    <row r="10" spans="1:8" x14ac:dyDescent="0.25">
      <c r="A10" s="49">
        <f>VLOOKUP("Project AADT",lookup_helper!$B:$D,3,FALSE)</f>
        <v>60000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1E1BF-1D9B-4FBF-AE3A-DF1C4AF51E3A}">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31"/>
    </row>
    <row r="4" spans="1:8" ht="17.25" x14ac:dyDescent="0.25">
      <c r="A4" s="12" t="s">
        <v>256</v>
      </c>
    </row>
    <row r="5" spans="1:8" x14ac:dyDescent="0.25">
      <c r="A5" s="29" t="s">
        <v>279</v>
      </c>
    </row>
    <row r="6" spans="1:8" x14ac:dyDescent="0.25">
      <c r="A6" s="49">
        <f>lookup_helper!D95*lookup_helper!D72</f>
        <v>4050</v>
      </c>
    </row>
    <row r="9" spans="1:8" ht="15.75" thickBot="1" x14ac:dyDescent="0.3">
      <c r="A9" s="29" t="s">
        <v>280</v>
      </c>
    </row>
    <row r="10" spans="1:8" ht="45.75" thickBot="1" x14ac:dyDescent="0.3">
      <c r="A10" s="34" t="s">
        <v>257</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258</v>
      </c>
    </row>
    <row r="16" spans="1:8" x14ac:dyDescent="0.25">
      <c r="A16" s="29" t="s">
        <v>281</v>
      </c>
    </row>
    <row r="17" spans="1:5" x14ac:dyDescent="0.25">
      <c r="B17" s="91"/>
      <c r="C17" s="91"/>
      <c r="D17" s="91"/>
      <c r="E17" s="91"/>
    </row>
    <row r="18" spans="1:5" x14ac:dyDescent="0.25">
      <c r="A18" s="91"/>
      <c r="B18" s="91"/>
      <c r="C18" s="91"/>
      <c r="D18" s="91"/>
      <c r="E18" s="91"/>
    </row>
    <row r="19" spans="1:5" x14ac:dyDescent="0.25">
      <c r="A19" s="41"/>
      <c r="B19" s="91"/>
      <c r="C19" s="91"/>
      <c r="D19" s="91"/>
      <c r="E19" s="91"/>
    </row>
    <row r="20" spans="1:5" x14ac:dyDescent="0.25">
      <c r="A20" s="91"/>
      <c r="B20" s="91"/>
      <c r="C20" s="91"/>
      <c r="D20" s="91"/>
      <c r="E20" s="91"/>
    </row>
    <row r="21" spans="1:5" x14ac:dyDescent="0.25">
      <c r="A21" s="91"/>
      <c r="B21" s="91"/>
      <c r="C21" s="91"/>
      <c r="D21" s="91"/>
      <c r="E21" s="91"/>
    </row>
    <row r="34" spans="1:1" x14ac:dyDescent="0.25">
      <c r="A34" s="13" t="s">
        <v>259</v>
      </c>
    </row>
    <row r="72" spans="1:7" ht="28.5" customHeight="1" x14ac:dyDescent="0.25">
      <c r="A72" s="96" t="s">
        <v>238</v>
      </c>
      <c r="B72" s="96"/>
      <c r="C72" s="96"/>
      <c r="D72" s="96"/>
      <c r="E72" s="96"/>
      <c r="F72" s="96"/>
      <c r="G72" s="96"/>
    </row>
    <row r="86" spans="8:9" x14ac:dyDescent="0.25">
      <c r="H86" s="90"/>
      <c r="I86" s="90"/>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activeCell="K90" sqref="K90"/>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284</v>
      </c>
      <c r="B3" t="s">
        <v>282</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251</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1">
        <v>1.3624389724527719</v>
      </c>
    </row>
    <row r="69" spans="1:5" x14ac:dyDescent="0.25">
      <c r="A69" s="2" t="s">
        <v>66</v>
      </c>
      <c r="B69" s="8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2" activePane="bottomLeft" state="frozen"/>
      <selection activeCell="K90" sqref="K90"/>
      <selection pane="bottomLeft" activeCell="G1" sqref="G1:G1048576"/>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3" t="s">
        <v>276</v>
      </c>
      <c r="Q18" s="61">
        <f t="array" ref="Q18">MAX(IF(ISNUMBER(SEARCH("calc_len",import!$A:$A)),import!$B:$B))</f>
        <v>7460.2525126827086</v>
      </c>
      <c r="R18" s="62"/>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0" t="s">
        <v>275</v>
      </c>
      <c r="Q19" s="64">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210</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210</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7" customFormat="1" ht="30" x14ac:dyDescent="0.25">
      <c r="A65" s="77" t="s">
        <v>30</v>
      </c>
      <c r="B65" s="78" t="s">
        <v>158</v>
      </c>
      <c r="C65" s="77" t="s">
        <v>208</v>
      </c>
      <c r="D65" s="79">
        <f>VLOOKUP($A65,import!$A:$G,MATCH(lookup_helper!D$1,import!$A$1:$G$1,0),FALSE)</f>
        <v>1175.845221386116</v>
      </c>
      <c r="E65" s="79">
        <f>VLOOKUP($A65,import!$A:$G,MATCH(lookup_helper!E$1,import!$A$1:$G$1,0),FALSE)</f>
        <v>0</v>
      </c>
      <c r="F65" s="79">
        <f>VLOOKUP($A65,import!$A:$G,MATCH(lookup_helper!F$1,import!$A$1:$G$1,0),FALSE)</f>
        <v>0</v>
      </c>
      <c r="G65" s="79">
        <f>VLOOKUP($A65,import!$A:$G,MATCH(lookup_helper!G$1,import!$A$1:$G$1,0),FALSE)</f>
        <v>0</v>
      </c>
      <c r="H65" s="77">
        <f>VLOOKUP($A65,import!$A:$G,MATCH(lookup_helper!H$1,import!$A$1:$G$1,0),FALSE)</f>
        <v>0</v>
      </c>
      <c r="I65" s="77">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7" customFormat="1" x14ac:dyDescent="0.25">
      <c r="A80" s="77" t="s">
        <v>88</v>
      </c>
      <c r="B80" s="78" t="s">
        <v>185</v>
      </c>
      <c r="C80" s="77" t="s">
        <v>213</v>
      </c>
      <c r="D80" s="79">
        <f>VLOOKUP($A80,import!$A:$G,MATCH(lookup_helper!D$1,import!$A$1:$G$1,0),FALSE)</f>
        <v>1916</v>
      </c>
      <c r="E80" s="79">
        <f>VLOOKUP($A80,import!$A:$G,MATCH(lookup_helper!E$1,import!$A$1:$G$1,0),FALSE)</f>
        <v>2072.611115859987</v>
      </c>
      <c r="F80" s="77">
        <f>VLOOKUP($A80,import!$A:$G,MATCH(lookup_helper!F$1,import!$A$1:$G$1,0),FALSE)</f>
        <v>0</v>
      </c>
      <c r="G80" s="77">
        <f>VLOOKUP($A80,import!$A:$G,MATCH(lookup_helper!G$1,import!$A$1:$G$1,0),FALSE)</f>
        <v>0</v>
      </c>
      <c r="H80" s="77">
        <f>VLOOKUP($A80,import!$A:$G,MATCH(lookup_helper!H$1,import!$A$1:$G$1,0),FALSE)</f>
        <v>0</v>
      </c>
      <c r="I80" s="77">
        <f>VLOOKUP($A80,import!$A:$G,MATCH(lookup_helper!I$1,import!$A$1:$G$1,0),FALSE)</f>
        <v>0</v>
      </c>
    </row>
    <row r="81" spans="1:16" s="77" customFormat="1" x14ac:dyDescent="0.25">
      <c r="A81" s="77" t="s">
        <v>89</v>
      </c>
      <c r="B81" s="78" t="s">
        <v>183</v>
      </c>
      <c r="C81" s="77" t="s">
        <v>213</v>
      </c>
      <c r="D81" s="79">
        <f>VLOOKUP($A81,import!$A:$G,MATCH(lookup_helper!D$1,import!$A$1:$G$1,0),FALSE)</f>
        <v>1769</v>
      </c>
      <c r="E81" s="79">
        <f>VLOOKUP($A81,import!$A:$G,MATCH(lookup_helper!E$1,import!$A$1:$G$1,0),FALSE)</f>
        <v>2761.6599999999989</v>
      </c>
      <c r="F81" s="77">
        <f>VLOOKUP($A81,import!$A:$G,MATCH(lookup_helper!F$1,import!$A$1:$G$1,0),FALSE)</f>
        <v>0</v>
      </c>
      <c r="G81" s="77">
        <f>VLOOKUP($A81,import!$A:$G,MATCH(lookup_helper!G$1,import!$A$1:$G$1,0),FALSE)</f>
        <v>0</v>
      </c>
      <c r="H81" s="77">
        <f>VLOOKUP($A81,import!$A:$G,MATCH(lookup_helper!H$1,import!$A$1:$G$1,0),FALSE)</f>
        <v>0</v>
      </c>
      <c r="I81" s="77">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77" customFormat="1" x14ac:dyDescent="0.25">
      <c r="A83" s="79" t="s">
        <v>65</v>
      </c>
      <c r="B83" s="78" t="s">
        <v>176</v>
      </c>
      <c r="C83" s="77" t="s">
        <v>214</v>
      </c>
      <c r="D83" s="80">
        <f>VLOOKUP($A83,import!$A:$G,MATCH(lookup_helper!D$1,import!$A$1:$G$1,0),FALSE)</f>
        <v>1.3624389724527719</v>
      </c>
      <c r="E83" s="80">
        <f>VLOOKUP($A83,import!$A:$G,MATCH(lookup_helper!E$1,import!$A$1:$G$1,0),FALSE)</f>
        <v>0</v>
      </c>
      <c r="F83" s="80">
        <f>VLOOKUP($A83,import!$A:$G,MATCH(lookup_helper!F$1,import!$A$1:$G$1,0),FALSE)</f>
        <v>0</v>
      </c>
      <c r="G83" s="80">
        <f>VLOOKUP($A83,import!$A:$G,MATCH(lookup_helper!G$1,import!$A$1:$G$1,0),FALSE)</f>
        <v>0</v>
      </c>
      <c r="H83" s="80">
        <f>VLOOKUP($A83,import!$A:$G,MATCH(lookup_helper!H$1,import!$A$1:$G$1,0),FALSE)</f>
        <v>0</v>
      </c>
      <c r="I83" s="80">
        <f>VLOOKUP($A83,import!$A:$G,MATCH(lookup_helper!I$1,import!$A$1:$G$1,0),FALSE)</f>
        <v>0</v>
      </c>
    </row>
    <row r="84" spans="1:16" s="77" customFormat="1" ht="30" x14ac:dyDescent="0.25">
      <c r="A84" s="79" t="s">
        <v>66</v>
      </c>
      <c r="B84" s="78" t="s">
        <v>177</v>
      </c>
      <c r="C84" s="77" t="s">
        <v>214</v>
      </c>
      <c r="D84" s="80">
        <f>VLOOKUP($A84,import!$A:$G,MATCH(lookup_helper!D$1,import!$A$1:$G$1,0),FALSE)</f>
        <v>1.475654647382425</v>
      </c>
      <c r="E84" s="80">
        <f>VLOOKUP($A84,import!$A:$G,MATCH(lookup_helper!E$1,import!$A$1:$G$1,0),FALSE)</f>
        <v>0</v>
      </c>
      <c r="F84" s="80">
        <f>VLOOKUP($A84,import!$A:$G,MATCH(lookup_helper!F$1,import!$A$1:$G$1,0),FALSE)</f>
        <v>0</v>
      </c>
      <c r="G84" s="80">
        <f>VLOOKUP($A84,import!$A:$G,MATCH(lookup_helper!G$1,import!$A$1:$G$1,0),FALSE)</f>
        <v>0</v>
      </c>
      <c r="H84" s="80">
        <f>VLOOKUP($A84,import!$A:$G,MATCH(lookup_helper!H$1,import!$A$1:$G$1,0),FALSE)</f>
        <v>0</v>
      </c>
      <c r="I84" s="80">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302</v>
      </c>
      <c r="C92" t="s">
        <v>205</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264</v>
      </c>
      <c r="C96" t="s">
        <v>215</v>
      </c>
      <c r="D96" s="51">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260</v>
      </c>
      <c r="P96" s="28"/>
    </row>
    <row r="97" spans="1:16" x14ac:dyDescent="0.25">
      <c r="A97" s="2" t="s">
        <v>72</v>
      </c>
      <c r="B97" s="28" t="s">
        <v>265</v>
      </c>
      <c r="C97" t="s">
        <v>215</v>
      </c>
      <c r="D97" s="51">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260</v>
      </c>
      <c r="P97" s="28"/>
    </row>
    <row r="98" spans="1:16" x14ac:dyDescent="0.25">
      <c r="A98" s="1" t="s">
        <v>73</v>
      </c>
      <c r="B98" s="28" t="s">
        <v>266</v>
      </c>
      <c r="C98" t="s">
        <v>215</v>
      </c>
      <c r="D98" s="51">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260</v>
      </c>
      <c r="P98" s="28"/>
    </row>
    <row r="99" spans="1:16" x14ac:dyDescent="0.25">
      <c r="A99" s="1" t="s">
        <v>74</v>
      </c>
      <c r="B99" s="28" t="s">
        <v>267</v>
      </c>
      <c r="C99" t="s">
        <v>215</v>
      </c>
      <c r="D99" s="51">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260</v>
      </c>
      <c r="P99" s="28"/>
    </row>
    <row r="100" spans="1:16" x14ac:dyDescent="0.25">
      <c r="A100" s="1" t="s">
        <v>75</v>
      </c>
      <c r="B100" s="28" t="s">
        <v>264</v>
      </c>
      <c r="C100" t="s">
        <v>215</v>
      </c>
      <c r="D100" s="51">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261</v>
      </c>
      <c r="P100" s="28"/>
    </row>
    <row r="101" spans="1:16" x14ac:dyDescent="0.25">
      <c r="A101" s="1" t="s">
        <v>76</v>
      </c>
      <c r="B101" s="28" t="s">
        <v>265</v>
      </c>
      <c r="C101" t="s">
        <v>215</v>
      </c>
      <c r="D101" s="51">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261</v>
      </c>
      <c r="P101" s="28"/>
    </row>
    <row r="102" spans="1:16" x14ac:dyDescent="0.25">
      <c r="A102" s="1" t="s">
        <v>77</v>
      </c>
      <c r="B102" s="28" t="s">
        <v>266</v>
      </c>
      <c r="C102" t="s">
        <v>215</v>
      </c>
      <c r="D102" s="51">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261</v>
      </c>
      <c r="P102" s="28"/>
    </row>
    <row r="103" spans="1:16" x14ac:dyDescent="0.25">
      <c r="A103" s="1" t="s">
        <v>78</v>
      </c>
      <c r="B103" s="28" t="s">
        <v>267</v>
      </c>
      <c r="C103" t="s">
        <v>215</v>
      </c>
      <c r="D103" s="51">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261</v>
      </c>
      <c r="P103" s="28"/>
    </row>
    <row r="104" spans="1:16" x14ac:dyDescent="0.25">
      <c r="A104" t="s">
        <v>79</v>
      </c>
      <c r="B104" s="28" t="s">
        <v>264</v>
      </c>
      <c r="C104" t="s">
        <v>215</v>
      </c>
      <c r="D104" s="51">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262</v>
      </c>
      <c r="P104" s="28"/>
    </row>
    <row r="105" spans="1:16" x14ac:dyDescent="0.25">
      <c r="A105" t="s">
        <v>80</v>
      </c>
      <c r="B105" s="28" t="s">
        <v>265</v>
      </c>
      <c r="C105" t="s">
        <v>215</v>
      </c>
      <c r="D105" s="51">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262</v>
      </c>
      <c r="P105" s="28"/>
    </row>
    <row r="106" spans="1:16" x14ac:dyDescent="0.25">
      <c r="A106" t="s">
        <v>81</v>
      </c>
      <c r="B106" s="28" t="s">
        <v>266</v>
      </c>
      <c r="C106" t="s">
        <v>215</v>
      </c>
      <c r="D106" s="51">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262</v>
      </c>
      <c r="P106" s="28"/>
    </row>
    <row r="107" spans="1:16" x14ac:dyDescent="0.25">
      <c r="A107" t="s">
        <v>82</v>
      </c>
      <c r="B107" s="28" t="s">
        <v>267</v>
      </c>
      <c r="C107" t="s">
        <v>215</v>
      </c>
      <c r="D107" s="51">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262</v>
      </c>
      <c r="P107" s="28"/>
    </row>
    <row r="108" spans="1:16" x14ac:dyDescent="0.25">
      <c r="A108" t="s">
        <v>83</v>
      </c>
      <c r="B108" s="28" t="s">
        <v>264</v>
      </c>
      <c r="C108" t="s">
        <v>215</v>
      </c>
      <c r="D108" s="51">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263</v>
      </c>
      <c r="P108" s="28"/>
    </row>
    <row r="109" spans="1:16" x14ac:dyDescent="0.25">
      <c r="A109" t="s">
        <v>84</v>
      </c>
      <c r="B109" s="28" t="s">
        <v>265</v>
      </c>
      <c r="C109" t="s">
        <v>215</v>
      </c>
      <c r="D109" s="51">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263</v>
      </c>
      <c r="P109" s="28"/>
    </row>
    <row r="110" spans="1:16" x14ac:dyDescent="0.25">
      <c r="A110" t="s">
        <v>85</v>
      </c>
      <c r="B110" s="28" t="s">
        <v>268</v>
      </c>
      <c r="C110" t="s">
        <v>215</v>
      </c>
      <c r="D110" s="51">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263</v>
      </c>
      <c r="P110" s="28"/>
    </row>
    <row r="111" spans="1:16" x14ac:dyDescent="0.25">
      <c r="A111" t="s">
        <v>86</v>
      </c>
      <c r="B111" s="28" t="s">
        <v>267</v>
      </c>
      <c r="C111" t="s">
        <v>215</v>
      </c>
      <c r="D111" s="51">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263</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284</v>
      </c>
      <c r="B113" s="28" t="s">
        <v>283</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251</v>
      </c>
      <c r="B118" s="28" t="s">
        <v>252</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2020-08-25T18:58:14Z</cp:lastPrinted>
  <dcterms:created xsi:type="dcterms:W3CDTF">2020-01-07T23:38:49Z</dcterms:created>
  <dcterms:modified xsi:type="dcterms:W3CDTF">2020-10-29T22:21:17Z</dcterms:modified>
</cp:coreProperties>
</file>