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27A1A20F-C30B-4147-98FB-64D8B70E77F5}" xr6:coauthVersionLast="45" xr6:coauthVersionMax="45" xr10:uidLastSave="{00000000-0000-0000-0000-000000000000}"/>
  <bookViews>
    <workbookView xWindow="-120" yWindow="-120" windowWidth="29040" windowHeight="15840" tabRatio="781" xr2:uid="{00000000-000D-0000-FFFF-FFFF00000000}"/>
  </bookViews>
  <sheets>
    <sheet name="0ATitlePg" sheetId="4" r:id="rId1"/>
    <sheet name="0BUsingThisReport" sheetId="15" r:id="rId2"/>
    <sheet name="1ReduceVMT" sheetId="13" r:id="rId3"/>
    <sheet name="2ReduceCongestion" sheetId="3" r:id="rId4"/>
    <sheet name="3Multimodal" sheetId="6" r:id="rId5"/>
    <sheet name="4EconProsperity" sheetId="14" r:id="rId6"/>
    <sheet name="5Freight" sheetId="8" r:id="rId7"/>
    <sheet name="6Safety" sheetId="9" r:id="rId8"/>
    <sheet name="7SGR" sheetId="10" r:id="rId9"/>
    <sheet name="8SocioEconEquity" sheetId="11"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'4EconProsperity'!$A$67</definedName>
    <definedName name="_Hlk20929868" localSheetId="8">'7SGR'!$A$4</definedName>
    <definedName name="_xlnm.Print_Area" localSheetId="2">'1ReduceVMT'!$A$1:$H$69</definedName>
    <definedName name="_xlnm.Print_Area" localSheetId="4">'3Multimodal'!$A$1:$H$115</definedName>
    <definedName name="_xlnm.Print_Area" localSheetId="6">'5Freight'!$A$1:$H$41</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6" i="14" l="1"/>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H2" i="6" s="1"/>
  <c r="B14" i="5"/>
  <c r="B15" i="5"/>
  <c r="B16" i="5"/>
  <c r="B17" i="5"/>
  <c r="B12" i="5"/>
  <c r="B40" i="9" s="1"/>
  <c r="R14" i="5" l="1" a="1"/>
  <c r="R17" i="5" a="1"/>
  <c r="H1" i="3"/>
  <c r="A6" i="8"/>
  <c r="A8" i="9"/>
  <c r="R8" i="5" a="1"/>
  <c r="Q16" i="5" a="1"/>
  <c r="Q16" i="5" s="1"/>
  <c r="H1" i="10"/>
  <c r="A7" i="10"/>
  <c r="H2" i="9"/>
  <c r="C52" i="6"/>
  <c r="Q8" i="5" a="1"/>
  <c r="B72" i="9"/>
  <c r="A72" i="9"/>
  <c r="C72" i="9"/>
  <c r="H2" i="14"/>
  <c r="H1" i="14"/>
  <c r="H2" i="13"/>
  <c r="H1" i="13"/>
  <c r="A16" i="6"/>
  <c r="R9" i="5" a="1"/>
  <c r="R15" i="5" a="1"/>
  <c r="H1" i="6"/>
  <c r="H2" i="8"/>
  <c r="A40" i="9"/>
  <c r="A14" i="10"/>
  <c r="Q14" i="5" a="1"/>
  <c r="Q17" i="5" a="1"/>
  <c r="R16" i="5" a="1"/>
  <c r="Q9" i="5" a="1"/>
  <c r="H1" i="9"/>
  <c r="A10" i="10"/>
  <c r="A38" i="8"/>
  <c r="B11" i="11"/>
  <c r="H1" i="8"/>
  <c r="A52" i="6"/>
  <c r="B9" i="6"/>
  <c r="A26" i="3"/>
  <c r="H1" i="11"/>
  <c r="H2" i="11"/>
  <c r="C16" i="6"/>
  <c r="B38" i="8"/>
  <c r="C11" i="11"/>
  <c r="H2" i="3"/>
  <c r="A9" i="6"/>
  <c r="C40" i="9"/>
  <c r="C38" i="8"/>
  <c r="A11" i="11"/>
  <c r="H2" i="10"/>
  <c r="B52" i="6"/>
  <c r="C9" i="6"/>
  <c r="B16" i="6"/>
  <c r="Q9" i="5"/>
  <c r="B22" i="3"/>
  <c r="Q14" i="5"/>
  <c r="R14" i="5"/>
  <c r="Q17" i="5"/>
  <c r="Q15" i="5"/>
  <c r="Q8" i="5"/>
  <c r="A2" i="4"/>
  <c r="B23" i="3" l="1"/>
  <c r="R16" i="5"/>
  <c r="R15" i="5"/>
  <c r="R9" i="5"/>
  <c r="R17" i="5"/>
  <c r="R8" i="5"/>
  <c r="C23" i="3" l="1"/>
</calcChain>
</file>

<file path=xl/sharedStrings.xml><?xml version="1.0" encoding="utf-8"?>
<sst xmlns="http://schemas.openxmlformats.org/spreadsheetml/2006/main" count="646" uniqueCount="313">
  <si>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</si>
  <si>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</si>
  <si>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</si>
  <si>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</si>
  <si>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</si>
  <si>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</si>
  <si>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</si>
  <si>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</si>
  <si>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</si>
  <si>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</si>
  <si>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</si>
  <si>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</si>
  <si>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</si>
  <si>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</si>
  <si>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</si>
  <si>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</si>
  <si>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</si>
  <si>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</si>
  <si>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</si>
  <si>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</si>
  <si>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</si>
  <si>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</si>
  <si>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</si>
  <si>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</si>
  <si>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</si>
  <si>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</si>
  <si>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</si>
  <si>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</si>
  <si>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</si>
  <si>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</si>
  <si>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</si>
  <si>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</si>
  <si>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</si>
  <si>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</si>
  <si>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</si>
  <si>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</si>
  <si>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</si>
  <si>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</si>
  <si>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</si>
  <si>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</si>
  <si>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</si>
  <si>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</si>
  <si>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</si>
  <si>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</si>
  <si>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</si>
  <si>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</si>
  <si>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</si>
  <si>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</si>
  <si>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</si>
  <si>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</si>
  <si>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</si>
  <si>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</si>
  <si>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</si>
  <si>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</si>
  <si>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</si>
  <si>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</si>
  <si>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</si>
  <si>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</si>
  <si>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</si>
  <si>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</si>
  <si>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</si>
  <si>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</si>
  <si>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</si>
  <si>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</si>
  <si>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</si>
  <si>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</si>
  <si>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</si>
  <si>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</si>
  <si>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</si>
  <si>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</si>
  <si>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</si>
  <si>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</si>
  <si>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</si>
  <si>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</si>
  <si>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</si>
  <si>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</si>
  <si>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</si>
  <si>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</si>
  <si>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</si>
  <si>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</si>
  <si>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</si>
  <si>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</si>
  <si>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</si>
  <si>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</si>
  <si>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</si>
  <si>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</si>
  <si>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</si>
  <si>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</si>
  <si>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</si>
  <si>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</si>
  <si>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</si>
  <si>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</si>
  <si>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</si>
  <si>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</si>
  <si>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</si>
  <si>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</si>
  <si>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</si>
  <si>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</si>
  <si>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</si>
  <si>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</si>
  <si>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</si>
  <si>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</si>
  <si>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</si>
  <si>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</si>
  <si>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</si>
  <si>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</si>
  <si>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</si>
  <si>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</si>
  <si>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</si>
  <si>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</si>
  <si>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</si>
  <si>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</si>
  <si>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</si>
  <si>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</si>
  <si>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</si>
  <si>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</si>
  <si>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</si>
  <si>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</si>
  <si>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</si>
  <si>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</si>
  <si>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</si>
  <si>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</si>
  <si>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</si>
  <si>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</si>
  <si>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</si>
  <si>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</si>
  <si>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</si>
  <si>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</si>
  <si>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</si>
  <si>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</si>
  <si>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</si>
  <si>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</si>
  <si>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</si>
  <si>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</si>
  <si>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</si>
  <si>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</si>
  <si>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</si>
  <si>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</si>
  <si>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</si>
  <si>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</si>
  <si>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</si>
  <si>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</si>
  <si>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</si>
  <si>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</si>
  <si>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</si>
  <si>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</si>
  <si>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</si>
  <si>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</si>
  <si>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</si>
  <si>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</si>
  <si>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</si>
  <si>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</si>
  <si>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</si>
  <si>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</si>
  <si>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</si>
  <si>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</si>
  <si>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</si>
  <si>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</si>
  <si>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</si>
  <si>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</si>
  <si>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</si>
  <si>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</si>
  <si>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</si>
  <si>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</si>
  <si>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</si>
  <si>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</si>
  <si>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</si>
  <si>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</si>
  <si>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</si>
  <si>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</si>
  <si>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</si>
  <si>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</si>
  <si>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</si>
  <si>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</si>
  <si>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</si>
  <si>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</si>
  <si>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</si>
  <si>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</si>
  <si>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</si>
  <si>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</si>
  <si>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</si>
  <si>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</si>
  <si>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</si>
  <si>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</si>
  <si>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</si>
  <si>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</si>
  <si>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</si>
  <si>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</si>
  <si>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</si>
  <si>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</si>
  <si>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</si>
  <si>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</si>
  <si>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</si>
  <si>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</si>
  <si>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</si>
  <si>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</si>
  <si>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</si>
  <si>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</si>
  <si>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</si>
  <si>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</si>
  <si>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</si>
  <si>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</si>
  <si>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</si>
  <si>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</si>
  <si>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</si>
  <si>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</si>
  <si>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</si>
  <si>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</si>
  <si>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</si>
  <si>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</si>
  <si>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</si>
  <si>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</si>
  <si>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</si>
  <si>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</si>
  <si>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</si>
  <si>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</si>
  <si>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</si>
  <si>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</si>
  <si>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</si>
  <si>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</si>
  <si>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</si>
  <si>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</si>
  <si>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</si>
  <si>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</si>
  <si>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</si>
  <si>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</si>
  <si>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</si>
  <si>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</si>
  <si>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</si>
  <si>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</si>
  <si>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</si>
  <si>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</si>
  <si>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</si>
  <si>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</si>
  <si>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</si>
  <si>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</si>
  <si>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</si>
  <si>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</si>
  <si>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</si>
  <si>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</si>
  <si>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</si>
  <si>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</si>
  <si>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</si>
  <si>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</si>
  <si>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</si>
  <si>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</si>
  <si>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</si>
  <si>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</si>
  <si>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</si>
  <si>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</si>
  <si>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</si>
  <si>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</si>
  <si>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</si>
  <si>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</si>
  <si>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</si>
  <si>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</si>
  <si>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</si>
  <si>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</si>
  <si>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</si>
  <si>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</si>
  <si>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</si>
  <si>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</si>
  <si>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</si>
  <si>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</si>
  <si>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</si>
  <si>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</si>
  <si>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</si>
  <si>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</si>
  <si>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</si>
  <si>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</si>
  <si>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</si>
  <si>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</si>
  <si>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</si>
  <si>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</si>
  <si>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</si>
  <si>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</si>
  <si>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</si>
  <si>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</si>
  <si>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</si>
  <si>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</si>
  <si>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</si>
  <si>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</si>
  <si>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</si>
  <si>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</si>
  <si>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</si>
  <si>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</si>
  <si>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</si>
  <si>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</si>
  <si>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</si>
  <si>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Using This Report</t>
  </si>
  <si>
    <t>What this report does NOT do</t>
  </si>
  <si>
    <t>What this report does</t>
  </si>
  <si>
    <t>State of good repair indicator 3: Complete Streets Index</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</si>
  <si>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</si>
  <si>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VMT Indicator 1: Total change in jobs and dwelling units within 0.5mi of project:</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</si>
  <si>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</si>
  <si>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</si>
  <si>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4: Education Facility (K12 schools and higher education) Access</t>
  </si>
  <si>
    <t>Economic Prosperity Indicator 5: Change in Ag acreage share within 0.5mi of project location</t>
  </si>
  <si>
    <t>Economic Prosperity Indicator 2: K-12 Enrollment within 0.5mi of project location:</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</si>
  <si>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could mean that the project type selected is not eligible to be evaluated based on complete streets potential (e.g. freeway projects are not eligible for complete streets evaluation), or that a speed limit was not entered.</t>
  </si>
  <si>
    <t>Bike/ped collisions per road centerline mile</t>
  </si>
  <si>
    <t>Report generated:</t>
  </si>
  <si>
    <t>Safety Indicator 2: Collisions per 100 Million VMT</t>
  </si>
  <si>
    <t>On project segment*</t>
  </si>
  <si>
    <t>*The on-project collision rate will be -1.0 if the user did not provide an average daily traffic value.</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</si>
  <si>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</si>
  <si>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</si>
  <si>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Multi-modal indicator 4: Residential Mode Split:</t>
  </si>
  <si>
    <t>NOTE - The 2040 mode split shown below is based on modeled values estimated</t>
  </si>
  <si>
    <t>for SACOG's 2020 MTP-SCS. As with all other 2040 values in this report, they do NOT factor in</t>
  </si>
  <si>
    <t>the potential effects of the project for which this report was generated.</t>
  </si>
  <si>
    <t>Safety Indicator 4: Bike + Ped Collisions per Project Centerline 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</si>
</sst>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0"/>
    <numFmt numFmtId="167" formatCode="#,##0.0"/>
    <numFmt numFmtId="168" formatCode="[$-409]m/d/yy\ h:mm\ AM/PM;@"/>
    <numFmt numFmtId="169" formatCode="_(* #,##0.0_);_(* \(#,##0.0\);_(*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0" fontId="0" fillId="0" borderId="0" xfId="0" applyAlignment="1">
      <alignment horizontal="left" vertical="top" wrapText="1"/>
    </xf>
    <xf numFmtId="0" fontId="0" fillId="0" borderId="0" xfId="0" applyAlignment="1">
      <alignment vertical="center" wrapText="1"/>
    </xf>
    <xf numFmtId="0" fontId="25" fillId="0" borderId="0" xfId="0" applyFont="1" applyBorder="1" applyAlignment="1">
      <alignment vertical="center"/>
    </xf>
    <xf numFmtId="0" fontId="16" fillId="0" borderId="0" xfId="0" applyFont="1" applyBorder="1" applyAlignment="1">
      <alignment vertical="center"/>
    </xf>
    <xf numFmtId="169" fontId="0" fillId="0" borderId="0" xfId="1" applyNumberFormat="1" applyFont="1"/>
    <xf numFmtId="165" fontId="0" fillId="0" borderId="0" xfId="0" applyNumberFormat="1"/>
    <xf numFmtId="2" fontId="16" fillId="0" borderId="22" xfId="0" applyNumberFormat="1" applyFont="1" applyBorder="1" applyAlignment="1">
      <alignment vertical="center"/>
    </xf>
    <xf numFmtId="49" fontId="31" fillId="0" borderId="0" xfId="0" applyNumberFormat="1" applyFont="1" applyAlignment="1">
      <alignment horizontal="left" vertical="center" indent="5"/>
    </xf>
    <xf numFmtId="3" fontId="0" fillId="0" borderId="18" xfId="0" applyNumberFormat="1" applyBorder="1"/>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Dwelling units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14C-4DBF-ABB6-F8BF0A404ABF}"/>
            </c:ext>
          </c:extLst>
        </c:ser>
        <c:ser>
          <c:idx val="1"/>
          <c:order val="1"/>
          <c:tx>
            <c:v>Jobs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14C-4DBF-ABB6-F8BF0A404AB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2016</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DBEC-4879-806A-647E74D880A0}"/>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DBEC-4879-806A-647E74D880A0}"/>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8E5C-44DC-B9F6-918373F7A68A}"/>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8E5C-44DC-B9F6-918373F7A68A}"/>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8E5C-44DC-B9F6-918373F7A68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prstDash val="solid"/>
        </a:ln>
      </c:spPr>
    </c:title>
    <c:autoTitleDeleted val="0"/>
    <c:plotArea>
      <c:layout/>
      <c:barChart>
        <c:barDir val="col"/>
        <c:grouping val="clustered"/>
        <c:varyColors val="0"/>
        <c:ser>
          <c:idx val="0"/>
          <c:order val="0"/>
          <c:tx>
            <c:strRef>
              <c:f>lookup_helper!$D$3</c:f>
              <c:strCache>
                <c:ptCount val="1"/>
                <c:pt idx="0">
                  <c:v>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lookup_helper!$B$7:$B$11</c:f>
              <c:strCache>
                <c:ptCount val="5"/>
                <c:pt idx="0">
                  <c:v>Single-occupant vehicle trips</c:v>
                </c:pt>
                <c:pt idx="1">
                  <c:v>Carpool trips</c:v>
                </c:pt>
                <c:pt idx="2">
                  <c:v>Transit trips</c:v>
                </c:pt>
                <c:pt idx="3">
                  <c:v>Biking trips</c:v>
                </c:pt>
                <c:pt idx="4">
                  <c:v>Walking trips</c:v>
                </c:pt>
              </c:strCache>
            </c:strRef>
          </c:cat>
          <c:val>
            <c:numRef>
              <c:f>lookup_helper!$D$7:$D$11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2-AB6A-4D04-A981-1FD7DB9090D0}"/>
            </c:ext>
          </c:extLst>
        </c:ser>
        <c:ser>
          <c:idx val="1"/>
          <c:order val="1"/>
          <c:tx>
            <c:strRef>
              <c:f>lookup_helper!$E$3</c:f>
              <c:strCache>
                <c:ptCount val="1"/>
                <c:pt idx="0">
                  <c:v>2040</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lookup_helper!$E$7:$E$11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3-AB6A-4D04-A981-1FD7DB9090D0}"/>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lookup_helper!$D$43:$D$46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0D9F-4F03-8D7A-8EF77991CCF5}"/>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lookup_helper!$F$43:$F$46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01-0D9F-4F03-8D7A-8EF77991CCF5}"/>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lookup_helper!$G$43:$G$46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02-0D9F-4F03-8D7A-8EF77991CCF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11DE-4846-AEB6-856041241491}"/>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11DE-4846-AEB6-856041241491}"/>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11DE-4846-AEB6-856041241491}"/>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Share of land that is Ag use within project area</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984E-4913-A0EA-1FA4D0BE2F71}"/>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336550</xdr:colOff>
      <xdr:row>6</xdr:row>
      <xdr:rowOff>107950</xdr:rowOff>
    </xdr:from>
    <xdr:to>
      <xdr:col>6</xdr:col>
      <xdr:colOff>457200</xdr:colOff>
      <xdr:row>20</xdr:row>
      <xdr:rowOff>184150</xdr:rowOff>
    </xdr:to>
    <xdr:graphicFrame macro="">
      <xdr:nvGraphicFramePr>
        <xdr:cNvPr id="2" name="Chart 1">
          <a:extLst>
            <a:ext uri="{FF2B5EF4-FFF2-40B4-BE49-F238E27FC236}">
              <a16:creationId xmlns:a16="http://schemas.microsoft.com/office/drawing/2014/main" id="{CB98D289-8E73-4C61-8C56-6C0520FD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24</xdr:row>
      <xdr:rowOff>123825</xdr:rowOff>
    </xdr:from>
    <xdr:to>
      <xdr:col>6</xdr:col>
      <xdr:colOff>390525</xdr:colOff>
      <xdr:row>40</xdr:row>
      <xdr:rowOff>142875</xdr:rowOff>
    </xdr:to>
    <xdr:graphicFrame macro="">
      <xdr:nvGraphicFramePr>
        <xdr:cNvPr id="3" name="Chart 2">
          <a:extLst>
            <a:ext uri="{FF2B5EF4-FFF2-40B4-BE49-F238E27FC236}">
              <a16:creationId xmlns:a16="http://schemas.microsoft.com/office/drawing/2014/main" id="{46AAD523-609B-447D-A57A-24FEF9662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48</xdr:row>
      <xdr:rowOff>180975</xdr:rowOff>
    </xdr:from>
    <xdr:to>
      <xdr:col>6</xdr:col>
      <xdr:colOff>414338</xdr:colOff>
      <xdr:row>64</xdr:row>
      <xdr:rowOff>104775</xdr:rowOff>
    </xdr:to>
    <xdr:graphicFrame macro="">
      <xdr:nvGraphicFramePr>
        <xdr:cNvPr id="4" name="Chart 3">
          <a:extLst>
            <a:ext uri="{FF2B5EF4-FFF2-40B4-BE49-F238E27FC236}">
              <a16:creationId xmlns:a16="http://schemas.microsoft.com/office/drawing/2014/main" id="{A089BBD3-A960-4B07-AB96-D841B830E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99</xdr:row>
      <xdr:rowOff>0</xdr:rowOff>
    </xdr:from>
    <xdr:to>
      <xdr:col>5</xdr:col>
      <xdr:colOff>409575</xdr:colOff>
      <xdr:row>114</xdr:row>
      <xdr:rowOff>82550</xdr:rowOff>
    </xdr:to>
    <xdr:graphicFrame macro="">
      <xdr:nvGraphicFramePr>
        <xdr:cNvPr id="2" name="Chart 1">
          <a:extLst>
            <a:ext uri="{FF2B5EF4-FFF2-40B4-BE49-F238E27FC236}">
              <a16:creationId xmlns:a16="http://schemas.microsoft.com/office/drawing/2014/main" id="{0F897BD7-2807-49FC-98A5-E5FF9F7AC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15D86F48-746B-4712-8828-B383408FF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49</xdr:row>
      <xdr:rowOff>123825</xdr:rowOff>
    </xdr:from>
    <xdr:to>
      <xdr:col>7</xdr:col>
      <xdr:colOff>1076325</xdr:colOff>
      <xdr:row>63</xdr:row>
      <xdr:rowOff>38100</xdr:rowOff>
    </xdr:to>
    <xdr:graphicFrame macro="">
      <xdr:nvGraphicFramePr>
        <xdr:cNvPr id="3" name="Chart 2">
          <a:extLst>
            <a:ext uri="{FF2B5EF4-FFF2-40B4-BE49-F238E27FC236}">
              <a16:creationId xmlns:a16="http://schemas.microsoft.com/office/drawing/2014/main" id="{4C9A1B01-D224-4502-AAAA-2BBEBFDA1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69</xdr:row>
      <xdr:rowOff>66675</xdr:rowOff>
    </xdr:from>
    <xdr:to>
      <xdr:col>7</xdr:col>
      <xdr:colOff>152400</xdr:colOff>
      <xdr:row>81</xdr:row>
      <xdr:rowOff>85725</xdr:rowOff>
    </xdr:to>
    <xdr:graphicFrame macro="">
      <xdr:nvGraphicFramePr>
        <xdr:cNvPr id="4" name="Chart 3">
          <a:extLst>
            <a:ext uri="{FF2B5EF4-FFF2-40B4-BE49-F238E27FC236}">
              <a16:creationId xmlns:a16="http://schemas.microsoft.com/office/drawing/2014/main" id="{A13FD0F2-4711-4BE5-A8FE-94779A1EC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6" t="str">
        <f>"Project Performance Assessment Report: "&amp;import!$B$2</f>
        <v>Project Performance Assessment Report: test_project_YubaCity</v>
      </c>
      <c r="B2" s="96"/>
      <c r="C2" s="96"/>
      <c r="D2" s="96"/>
      <c r="E2" s="96"/>
      <c r="F2" s="96"/>
      <c r="G2" s="96"/>
      <c r="H2" s="96"/>
      <c r="I2" s="96"/>
    </row>
    <row r="3" spans="1:9" x14ac:dyDescent="0.25">
      <c r="A3" s="96"/>
      <c r="B3" s="96"/>
      <c r="C3" s="96"/>
      <c r="D3" s="96"/>
      <c r="E3" s="96"/>
      <c r="F3" s="96"/>
      <c r="G3" s="96"/>
      <c r="H3" s="96"/>
      <c r="I3" s="96"/>
    </row>
    <row r="4" spans="1:9" x14ac:dyDescent="0.25">
      <c r="A4" s="96"/>
      <c r="B4" s="96"/>
      <c r="C4" s="96"/>
      <c r="D4" s="96"/>
      <c r="E4" s="96"/>
      <c r="F4" s="96"/>
      <c r="G4" s="96"/>
      <c r="H4" s="96"/>
      <c r="I4" s="96"/>
    </row>
    <row r="6" spans="1:9" x14ac:dyDescent="0.25">
      <c r="A6" t="s">
        <v>123</v>
      </c>
    </row>
    <row r="30" spans="1:5" ht="21" x14ac:dyDescent="0.25">
      <c r="A30" s="8" t="s">
        <v>124</v>
      </c>
    </row>
    <row r="31" spans="1:5" x14ac:dyDescent="0.25">
      <c r="A31" s="95" t="s">
        <v>129</v>
      </c>
      <c r="B31" s="95"/>
      <c r="C31" s="95"/>
      <c r="D31" s="95"/>
      <c r="E31" s="31" t="str">
        <f>VLOOKUP(A31,lookup_helper!$B$112:$D$119,3,FALSE)</f>
        <v>test_project_YubaCity</v>
      </c>
    </row>
    <row r="32" spans="1:5" x14ac:dyDescent="0.25">
      <c r="A32" s="68" t="s">
        <v>281</v>
      </c>
      <c r="B32" s="68"/>
      <c r="C32" s="68"/>
      <c r="D32" s="68"/>
      <c r="E32" s="31" t="str">
        <f>VLOOKUP(A32,lookup_helper!$B$112:$D$119,3,FALSE)</f>
        <v>anyplace</v>
      </c>
    </row>
    <row r="33" spans="1:9" x14ac:dyDescent="0.25">
      <c r="A33" s="95" t="s">
        <v>130</v>
      </c>
      <c r="B33" s="95"/>
      <c r="C33" s="95"/>
      <c r="D33" s="95"/>
      <c r="E33" s="31" t="str">
        <f>VLOOKUP(A33,lookup_helper!$B$112:$D$119,3,FALSE)</f>
        <v>Freeway</v>
      </c>
    </row>
    <row r="34" spans="1:9" x14ac:dyDescent="0.25">
      <c r="A34" s="95" t="s">
        <v>131</v>
      </c>
      <c r="B34" s="95"/>
      <c r="C34" s="95"/>
      <c r="D34" s="95"/>
      <c r="E34" s="32">
        <f>VLOOKUP(A34,lookup_helper!$B$112:$D$119,3,FALSE)</f>
        <v>60000</v>
      </c>
    </row>
    <row r="35" spans="1:9" x14ac:dyDescent="0.25">
      <c r="A35" s="95" t="s">
        <v>132</v>
      </c>
      <c r="B35" s="95"/>
      <c r="C35" s="95"/>
      <c r="D35" s="95"/>
      <c r="E35" s="32">
        <f>VLOOKUP(A35,lookup_helper!$B$112:$D$119,3,FALSE)</f>
        <v>60</v>
      </c>
    </row>
    <row r="36" spans="1:9" x14ac:dyDescent="0.25">
      <c r="A36" s="95" t="s">
        <v>133</v>
      </c>
      <c r="B36" s="95"/>
      <c r="C36" s="95"/>
      <c r="D36" s="95"/>
      <c r="E36" s="32">
        <f>VLOOKUP(A36,lookup_helper!$B$112:$D$119,3,FALSE)</f>
        <v>65</v>
      </c>
    </row>
    <row r="37" spans="1:9" x14ac:dyDescent="0.25">
      <c r="A37" s="95" t="s">
        <v>251</v>
      </c>
      <c r="B37" s="95"/>
      <c r="C37" s="95"/>
      <c r="D37" s="95"/>
      <c r="E37" s="48">
        <f>VLOOKUP(A37,lookup_helper!$B$112:$D$119,3,FALSE)</f>
        <v>1.41</v>
      </c>
      <c r="F37" s="30"/>
      <c r="G37" s="30"/>
      <c r="H37" s="30"/>
      <c r="I37" s="30"/>
    </row>
    <row r="38" spans="1:9" x14ac:dyDescent="0.25">
      <c r="A38" s="95" t="s">
        <v>134</v>
      </c>
      <c r="B38" s="95"/>
      <c r="C38" s="95"/>
      <c r="D38" s="95"/>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5" t="s">
        <v>302</v>
      </c>
      <c r="B43" s="11"/>
      <c r="C43" s="11"/>
      <c r="D43" s="11"/>
      <c r="E43" s="11"/>
      <c r="F43" s="11"/>
      <c r="G43" s="11"/>
      <c r="H43" s="11"/>
      <c r="I43" s="11"/>
    </row>
    <row r="44" spans="1:9" x14ac:dyDescent="0.25">
      <c r="A44" s="93"/>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F730-9933-4E70-831A-E58EC1ED0B03}">
  <dimension ref="A3:I42"/>
  <sheetViews>
    <sheetView view="pageLayout" zoomScaleNormal="100" workbookViewId="0">
      <selection activeCell="A3" sqref="A3"/>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289</v>
      </c>
    </row>
    <row r="4" spans="1:9" x14ac:dyDescent="0.25">
      <c r="B4" s="80"/>
      <c r="C4" s="80"/>
      <c r="D4" s="80"/>
      <c r="E4" s="80"/>
      <c r="F4" s="80"/>
      <c r="G4" s="80"/>
      <c r="H4" s="80"/>
      <c r="I4" s="80"/>
    </row>
    <row r="5" spans="1:9" x14ac:dyDescent="0.25">
      <c r="A5" s="81" t="s">
        <v>291</v>
      </c>
    </row>
    <row r="6" spans="1:9" ht="159" customHeight="1" x14ac:dyDescent="0.25">
      <c r="A6" s="97" t="s">
        <v>306</v>
      </c>
      <c r="B6" s="97"/>
      <c r="C6" s="97"/>
      <c r="D6" s="97"/>
      <c r="E6" s="97"/>
      <c r="F6" s="97"/>
      <c r="G6" s="97"/>
      <c r="H6" s="97"/>
      <c r="I6" s="97"/>
    </row>
    <row r="9" spans="1:9" x14ac:dyDescent="0.25">
      <c r="A9" s="81" t="s">
        <v>290</v>
      </c>
    </row>
    <row r="10" spans="1:9" ht="223.5" customHeight="1" x14ac:dyDescent="0.25">
      <c r="A10" s="97" t="s">
        <v>307</v>
      </c>
      <c r="B10" s="97"/>
      <c r="C10" s="97"/>
      <c r="D10" s="97"/>
      <c r="E10" s="97"/>
      <c r="F10" s="97"/>
      <c r="G10" s="97"/>
      <c r="H10" s="97"/>
      <c r="I10" s="97"/>
    </row>
    <row r="28" spans="1:5" x14ac:dyDescent="0.25">
      <c r="A28" s="68"/>
      <c r="B28" s="68"/>
      <c r="C28" s="68"/>
      <c r="D28" s="68"/>
      <c r="E28" s="31"/>
    </row>
    <row r="29" spans="1:5" x14ac:dyDescent="0.25">
      <c r="A29" s="78"/>
      <c r="E29" s="31"/>
    </row>
    <row r="30" spans="1:5" x14ac:dyDescent="0.25">
      <c r="A30" s="68"/>
      <c r="B30" s="68"/>
      <c r="C30" s="68"/>
      <c r="D30" s="68"/>
      <c r="E30" s="31"/>
    </row>
    <row r="31" spans="1:5" x14ac:dyDescent="0.25">
      <c r="A31" s="68"/>
      <c r="B31" s="68"/>
      <c r="C31" s="68"/>
      <c r="D31" s="68"/>
      <c r="E31" s="31"/>
    </row>
    <row r="32" spans="1:5" x14ac:dyDescent="0.25">
      <c r="A32" s="68"/>
      <c r="B32" s="68"/>
      <c r="C32" s="68"/>
      <c r="D32" s="68"/>
      <c r="E32" s="32"/>
    </row>
    <row r="33" spans="1:9" x14ac:dyDescent="0.25">
      <c r="A33" s="68"/>
      <c r="B33" s="68"/>
      <c r="C33" s="68"/>
      <c r="D33" s="68"/>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5"/>
      <c r="B39" s="11"/>
      <c r="C39" s="11"/>
      <c r="D39" s="11"/>
      <c r="E39" s="11"/>
      <c r="F39" s="11"/>
      <c r="G39" s="11"/>
      <c r="H39" s="11"/>
      <c r="I39" s="11"/>
    </row>
    <row r="40" spans="1:9" x14ac:dyDescent="0.25">
      <c r="A40" s="56"/>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C575-8E21-4C60-B569-E75F663B7519}">
  <dimension ref="A1:H67"/>
  <sheetViews>
    <sheetView view="pageLayout" zoomScaleNormal="100" zoomScaleSheetLayoutView="100" workbookViewId="0">
      <selection activeCell="H2" sqref="H2"/>
    </sheetView>
  </sheetViews>
  <sheetFormatPr defaultRowHeight="15" x14ac:dyDescent="0.25"/>
  <cols>
    <col min="1" max="1" width="24" customWidth="1"/>
  </cols>
  <sheetData>
    <row r="1" spans="1:8" s="46" customFormat="1" x14ac:dyDescent="0.25">
      <c r="H1" s="67" t="str">
        <f>"Project name: "&amp;VLOOKUP("Project name",lookup_helper!$B:$D,3,FALSE)</f>
        <v>Project name: test_project_YubaCity</v>
      </c>
    </row>
    <row r="2" spans="1:8" s="46" customFormat="1" x14ac:dyDescent="0.25">
      <c r="H2" s="67" t="str">
        <f>"Project community type: "&amp;VLOOKUP("Project Community Type",lookup_helper!$B:$D,3,FALSE)</f>
        <v>Project community type: Small-Town Established Communities</v>
      </c>
    </row>
    <row r="4" spans="1:8" ht="17.25" x14ac:dyDescent="0.25">
      <c r="A4" s="12" t="s">
        <v>125</v>
      </c>
    </row>
    <row r="5" spans="1:8" ht="17.25" x14ac:dyDescent="0.25">
      <c r="A5" s="12"/>
    </row>
    <row r="6" spans="1:8" x14ac:dyDescent="0.25">
      <c r="A6" s="29" t="s">
        <v>294</v>
      </c>
    </row>
    <row r="24" spans="1:1" x14ac:dyDescent="0.25">
      <c r="A24" s="29" t="s">
        <v>288</v>
      </c>
    </row>
    <row r="42" spans="1:8" ht="15" customHeight="1" x14ac:dyDescent="0.25">
      <c r="B42" s="87"/>
      <c r="C42" s="87"/>
      <c r="D42" s="87"/>
      <c r="E42" s="87"/>
      <c r="F42" s="87"/>
      <c r="G42" s="87"/>
      <c r="H42" s="87"/>
    </row>
    <row r="43" spans="1:8" ht="93" customHeight="1" x14ac:dyDescent="0.25">
      <c r="A43" s="98" t="s">
        <v>268</v>
      </c>
      <c r="B43" s="98"/>
      <c r="C43" s="98"/>
      <c r="D43" s="98"/>
      <c r="E43" s="98"/>
      <c r="F43" s="98"/>
      <c r="G43" s="98"/>
      <c r="H43" s="98"/>
    </row>
    <row r="44" spans="1:8" x14ac:dyDescent="0.25">
      <c r="A44" s="87"/>
      <c r="B44" s="87"/>
      <c r="C44" s="87"/>
      <c r="D44" s="87"/>
      <c r="E44" s="87"/>
      <c r="F44" s="87"/>
      <c r="G44" s="87"/>
      <c r="H44" s="87"/>
    </row>
    <row r="45" spans="1:8" ht="14.25" customHeight="1" x14ac:dyDescent="0.25">
      <c r="A45" s="87"/>
      <c r="B45" s="87"/>
      <c r="C45" s="87"/>
      <c r="D45" s="87"/>
      <c r="E45" s="87"/>
      <c r="F45" s="87"/>
      <c r="G45" s="87"/>
      <c r="H45" s="87"/>
    </row>
    <row r="48" spans="1:8" x14ac:dyDescent="0.25">
      <c r="A48" s="29" t="s">
        <v>295</v>
      </c>
    </row>
    <row r="67" spans="1:8" ht="130.5" customHeight="1" x14ac:dyDescent="0.25">
      <c r="A67" s="99" t="s">
        <v>296</v>
      </c>
      <c r="B67" s="99"/>
      <c r="C67" s="99"/>
      <c r="D67" s="99"/>
      <c r="E67" s="99"/>
      <c r="F67" s="99"/>
      <c r="G67" s="99"/>
      <c r="H67" s="99"/>
    </row>
  </sheetData>
  <mergeCells count="2">
    <mergeCell ref="A43:H43"/>
    <mergeCell ref="A67:H67"/>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zoomScaleNormal="100" workbookViewId="0">
      <selection activeCell="H1" sqref="H1:H2"/>
    </sheetView>
  </sheetViews>
  <sheetFormatPr defaultRowHeight="15" x14ac:dyDescent="0.25"/>
  <cols>
    <col min="1" max="1" width="22.5703125" customWidth="1"/>
    <col min="8" max="8" width="11"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7"/>
    </row>
    <row r="4" spans="1:8" ht="17.25" x14ac:dyDescent="0.25">
      <c r="A4" s="12" t="s">
        <v>126</v>
      </c>
    </row>
    <row r="5" spans="1:8" x14ac:dyDescent="0.25">
      <c r="A5" s="29" t="s">
        <v>283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5" t="s">
        <v>284</v>
      </c>
      <c r="B22" s="73" t="str">
        <f>lookup_helper!Q7</f>
        <v>EB</v>
      </c>
      <c r="C22" s="73" t="str">
        <f>lookup_helper!R7</f>
        <v>WB</v>
      </c>
    </row>
    <row r="23" spans="1:8" ht="30" x14ac:dyDescent="0.25">
      <c r="A23" s="74" t="s">
        <v>286</v>
      </c>
      <c r="B23" s="77">
        <f>IFERROR(lookup_helper!Q9/lookup_helper!Q8,0)</f>
        <v>0.62906584321456371</v>
      </c>
      <c r="C23" s="77">
        <f>IFERROR(lookup_helper!R9/lookup_helper!R8,0)</f>
        <v>0.81902208942477273</v>
      </c>
    </row>
    <row r="25" spans="1:8" ht="15.75" thickBot="1" x14ac:dyDescent="0.3">
      <c r="A25" s="78" t="s">
        <v>131</v>
      </c>
      <c r="C25" s="70"/>
    </row>
    <row r="26" spans="1:8" ht="15.75" thickBot="1" x14ac:dyDescent="0.3">
      <c r="A26" s="79">
        <f>VLOOKUP(A25,lookup_helper!$B:$D,3,FALSE)</f>
        <v>60000</v>
      </c>
    </row>
    <row r="27" spans="1:8" x14ac:dyDescent="0.25">
      <c r="D27" s="71"/>
      <c r="E27" s="71"/>
      <c r="F27" s="71"/>
      <c r="G27" s="71"/>
      <c r="H27" s="71"/>
    </row>
    <row r="28" spans="1:8" x14ac:dyDescent="0.25">
      <c r="A28" s="69"/>
      <c r="B28" s="72"/>
      <c r="C28" s="72"/>
      <c r="D28" s="71"/>
      <c r="E28" s="71"/>
      <c r="F28" s="71"/>
      <c r="G28" s="71"/>
      <c r="H28" s="71"/>
    </row>
    <row r="29" spans="1:8" ht="76.5" customHeight="1" x14ac:dyDescent="0.25">
      <c r="A29" s="99" t="s">
        <v>293</v>
      </c>
      <c r="B29" s="99"/>
      <c r="C29" s="99"/>
      <c r="D29" s="99"/>
      <c r="E29" s="99"/>
      <c r="F29" s="99"/>
      <c r="G29" s="99"/>
      <c r="H29" s="99"/>
    </row>
    <row r="31" spans="1:8" x14ac:dyDescent="0.25">
      <c r="A31" s="71"/>
      <c r="B31" s="71"/>
      <c r="C31" s="71"/>
      <c r="D31" s="71"/>
      <c r="E31" s="71"/>
      <c r="F31" s="71"/>
      <c r="G31" s="71"/>
      <c r="H31" s="71"/>
    </row>
    <row r="32" spans="1:8" x14ac:dyDescent="0.25">
      <c r="A32" s="71"/>
      <c r="B32" s="71"/>
      <c r="C32" s="71"/>
      <c r="D32" s="71"/>
      <c r="E32" s="71"/>
      <c r="F32" s="71"/>
      <c r="G32" s="71"/>
      <c r="H32" s="71"/>
    </row>
    <row r="33" spans="1:8" x14ac:dyDescent="0.25">
      <c r="A33" s="71"/>
      <c r="B33" s="71"/>
      <c r="C33" s="71"/>
      <c r="D33" s="71"/>
      <c r="E33" s="71"/>
      <c r="F33" s="71"/>
      <c r="G33" s="71"/>
      <c r="H33" s="71"/>
    </row>
    <row r="34" spans="1:8" x14ac:dyDescent="0.25">
      <c r="A34" s="71"/>
      <c r="B34" s="71"/>
      <c r="C34" s="71"/>
      <c r="D34" s="71"/>
      <c r="E34" s="71"/>
      <c r="F34" s="71"/>
      <c r="G34" s="71"/>
      <c r="H34" s="71"/>
    </row>
    <row r="35" spans="1:8" x14ac:dyDescent="0.25">
      <c r="A35" s="71"/>
      <c r="B35" s="71"/>
      <c r="C35" s="71"/>
      <c r="D35" s="71"/>
      <c r="E35" s="71"/>
      <c r="F35" s="71"/>
      <c r="G35" s="71"/>
      <c r="H35" s="71"/>
    </row>
    <row r="36" spans="1:8" x14ac:dyDescent="0.25">
      <c r="A36" s="71"/>
      <c r="B36" s="71"/>
      <c r="C36" s="71"/>
      <c r="D36" s="71"/>
      <c r="E36" s="71"/>
      <c r="F36" s="71"/>
      <c r="G36" s="71"/>
      <c r="H36" s="71"/>
    </row>
    <row r="44" spans="1:8" x14ac:dyDescent="0.25">
      <c r="A44" s="29" t="s">
        <v>287</v>
      </c>
    </row>
    <row r="62" spans="1:8" ht="42" customHeight="1" x14ac:dyDescent="0.25">
      <c r="A62" s="99" t="s">
        <v>275</v>
      </c>
      <c r="B62" s="99"/>
      <c r="C62" s="99"/>
      <c r="D62" s="99"/>
      <c r="E62" s="99"/>
      <c r="F62" s="99"/>
      <c r="G62" s="99"/>
      <c r="H62" s="99"/>
    </row>
    <row r="65" spans="1:1" x14ac:dyDescent="0.25">
      <c r="A65" s="29"/>
    </row>
  </sheetData>
  <mergeCells count="2">
    <mergeCell ref="A62:H62"/>
    <mergeCell ref="A29:H29"/>
  </mergeCells>
  <pageMargins left="0.7" right="0.69791666666666663"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98"/>
  <sheetViews>
    <sheetView view="pageLayout" topLeftCell="A31" zoomScaleNormal="100" zoomScaleSheetLayoutView="100" workbookViewId="0"/>
  </sheetViews>
  <sheetFormatPr defaultRowHeight="15" x14ac:dyDescent="0.25"/>
  <cols>
    <col min="1" max="1" width="17.7109375" customWidth="1"/>
    <col min="2" max="2" width="17.5703125" customWidth="1"/>
    <col min="3" max="3" width="15.28515625" customWidth="1"/>
    <col min="4" max="5" width="6.5703125" customWidth="1"/>
    <col min="6" max="6" width="9" customWidth="1"/>
    <col min="7" max="7" width="9.85546875" customWidth="1"/>
    <col min="8" max="8" width="12.85546875" customWidth="1"/>
  </cols>
  <sheetData>
    <row r="1" spans="1:9" s="65" customFormat="1" x14ac:dyDescent="0.25">
      <c r="H1" s="67" t="str">
        <f>"Project name: "&amp;VLOOKUP("Project name",lookup_helper!$B:$D,3,FALSE)</f>
        <v>Project name: test_project_YubaCity</v>
      </c>
    </row>
    <row r="2" spans="1:9" s="65" customFormat="1" x14ac:dyDescent="0.25">
      <c r="H2" s="67" t="str">
        <f>"Project community type: "&amp;VLOOKUP("Project Community Type",lookup_helper!$B:$D,3,FALSE)</f>
        <v>Project community type: Small-Town Established Communities</v>
      </c>
    </row>
    <row r="3" spans="1:9" x14ac:dyDescent="0.25">
      <c r="A3" s="58"/>
    </row>
    <row r="4" spans="1:9" ht="17.25" x14ac:dyDescent="0.25">
      <c r="A4" s="12" t="s">
        <v>223</v>
      </c>
    </row>
    <row r="5" spans="1:9" ht="27.75" customHeight="1" x14ac:dyDescent="0.25">
      <c r="A5" s="100" t="s">
        <v>224</v>
      </c>
      <c r="B5" s="100"/>
      <c r="C5" s="100"/>
      <c r="D5" s="100"/>
      <c r="E5" s="100"/>
    </row>
    <row r="7" spans="1:9" ht="15.75" thickBot="1" x14ac:dyDescent="0.3">
      <c r="A7" s="41" t="s">
        <v>236</v>
      </c>
    </row>
    <row r="8" spans="1:9" ht="30.75" thickBot="1" x14ac:dyDescent="0.3">
      <c r="A8" s="34" t="s">
        <v>232</v>
      </c>
      <c r="B8" s="35" t="s">
        <v>233</v>
      </c>
      <c r="C8" s="35" t="s">
        <v>234</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100" t="s">
        <v>225</v>
      </c>
      <c r="B12" s="100"/>
      <c r="C12" s="100"/>
      <c r="D12" s="100"/>
      <c r="E12" s="100"/>
      <c r="F12" s="36"/>
      <c r="G12" s="36"/>
      <c r="H12" s="36"/>
      <c r="I12" s="36"/>
    </row>
    <row r="14" spans="1:9" ht="15.75" thickBot="1" x14ac:dyDescent="0.3">
      <c r="A14" s="101" t="s">
        <v>235</v>
      </c>
      <c r="B14" s="101"/>
      <c r="C14" s="101"/>
    </row>
    <row r="15" spans="1:9" ht="30.75" thickBot="1" x14ac:dyDescent="0.3">
      <c r="A15" s="34" t="s">
        <v>232</v>
      </c>
      <c r="B15" s="35" t="s">
        <v>233</v>
      </c>
      <c r="C15" s="35" t="s">
        <v>234</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232</v>
      </c>
      <c r="B51" s="35" t="s">
        <v>233</v>
      </c>
      <c r="C51" s="35" t="s">
        <v>234</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272</v>
      </c>
    </row>
    <row r="56" spans="1:3" x14ac:dyDescent="0.25">
      <c r="A56" t="s">
        <v>229</v>
      </c>
    </row>
    <row r="95" spans="1:1" x14ac:dyDescent="0.25">
      <c r="A95" s="29" t="s">
        <v>308</v>
      </c>
    </row>
    <row r="96" spans="1:1" x14ac:dyDescent="0.25">
      <c r="A96" s="46" t="s">
        <v>309</v>
      </c>
    </row>
    <row r="97" spans="1:1" x14ac:dyDescent="0.25">
      <c r="A97" s="46" t="s">
        <v>310</v>
      </c>
    </row>
    <row r="98" spans="1:1" x14ac:dyDescent="0.25">
      <c r="A98" s="46" t="s">
        <v>311</v>
      </c>
    </row>
  </sheetData>
  <mergeCells count="3">
    <mergeCell ref="A12:E12"/>
    <mergeCell ref="A5:E5"/>
    <mergeCell ref="A14:C14"/>
  </mergeCells>
  <pageMargins left="0.7" right="0.7" top="0.75" bottom="0.75" header="0.3" footer="0.3"/>
  <pageSetup scale="90" orientation="portrait" r:id="rId1"/>
  <rowBreaks count="1" manualBreakCount="1">
    <brk id="42" max="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6BBF-5B98-434C-8B40-C08E39D8760C}">
  <dimension ref="A1:H69"/>
  <sheetViews>
    <sheetView view="pageLayout" zoomScaleNormal="100" workbookViewId="0">
      <selection activeCell="A46" sqref="A46"/>
    </sheetView>
  </sheetViews>
  <sheetFormatPr defaultRowHeight="15" x14ac:dyDescent="0.25"/>
  <cols>
    <col min="8" max="8" width="18.2851562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230</v>
      </c>
    </row>
    <row r="5" spans="1:8" ht="75" customHeight="1" x14ac:dyDescent="0.25">
      <c r="A5" s="102" t="s">
        <v>285</v>
      </c>
      <c r="B5" s="102"/>
      <c r="C5" s="102"/>
      <c r="D5" s="102"/>
      <c r="E5" s="102"/>
      <c r="F5" s="102"/>
      <c r="G5" s="102"/>
      <c r="H5" s="102"/>
    </row>
    <row r="6" spans="1:8" x14ac:dyDescent="0.25">
      <c r="A6" s="86"/>
      <c r="B6" s="86"/>
      <c r="C6" s="86"/>
      <c r="D6" s="86"/>
      <c r="E6" s="86"/>
      <c r="F6" s="86"/>
      <c r="G6" s="86"/>
      <c r="H6" s="86"/>
    </row>
    <row r="7" spans="1:8" x14ac:dyDescent="0.25">
      <c r="A7" s="29"/>
    </row>
    <row r="8" spans="1:8" ht="15.75" x14ac:dyDescent="0.25">
      <c r="A8" s="33" t="s">
        <v>270</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43" spans="1:1" ht="15" customHeight="1" x14ac:dyDescent="0.25">
      <c r="A43" s="33" t="s">
        <v>271</v>
      </c>
    </row>
    <row r="44" spans="1:1" ht="15" customHeight="1" x14ac:dyDescent="0.25">
      <c r="A44" s="33"/>
    </row>
    <row r="45" spans="1:1" ht="15.75" thickBot="1" x14ac:dyDescent="0.3">
      <c r="A45" s="29" t="s">
        <v>299</v>
      </c>
    </row>
    <row r="46" spans="1:1" ht="15.75" thickBot="1" x14ac:dyDescent="0.3">
      <c r="A46" s="94">
        <f>VLOOKUP("K-12 school enrollment",lookup_helper!$B:$D,3,FALSE)</f>
        <v>657</v>
      </c>
    </row>
    <row r="49" spans="1:1" x14ac:dyDescent="0.25">
      <c r="A49" s="29" t="s">
        <v>297</v>
      </c>
    </row>
    <row r="64" spans="1:1" s="18" customFormat="1" ht="15.75" x14ac:dyDescent="0.25">
      <c r="A64" s="88"/>
    </row>
    <row r="65" spans="1:1" s="18" customFormat="1" x14ac:dyDescent="0.25">
      <c r="A65" s="89"/>
    </row>
    <row r="66" spans="1:1" s="18" customFormat="1" x14ac:dyDescent="0.25"/>
    <row r="67" spans="1:1" ht="15.75" x14ac:dyDescent="0.25">
      <c r="A67" s="33" t="s">
        <v>238</v>
      </c>
    </row>
    <row r="68" spans="1:1" ht="15.75" x14ac:dyDescent="0.25">
      <c r="A68" s="33"/>
    </row>
    <row r="69" spans="1:1" x14ac:dyDescent="0.25">
      <c r="A69" s="29" t="s">
        <v>298</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8"/>
  <sheetViews>
    <sheetView view="pageLayout" zoomScaleNormal="100" zoomScaleSheetLayoutView="100" workbookViewId="0">
      <selection activeCell="H2" sqref="H2"/>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5" customFormat="1" x14ac:dyDescent="0.25">
      <c r="H1" s="67" t="str">
        <f>"Project name: "&amp;VLOOKUP("Project name",lookup_helper!$B:$D,3,FALSE)</f>
        <v>Project name: test_project_YubaCity</v>
      </c>
    </row>
    <row r="2" spans="1:9" s="65" customFormat="1" x14ac:dyDescent="0.25">
      <c r="H2" s="67" t="str">
        <f>"Project community type: "&amp;VLOOKUP("Project Community Type",lookup_helper!$B:$D,3,FALSE)</f>
        <v>Project community type: Small-Town Established Communities</v>
      </c>
    </row>
    <row r="3" spans="1:9" x14ac:dyDescent="0.25">
      <c r="A3" s="58"/>
    </row>
    <row r="4" spans="1:9" ht="17.25" x14ac:dyDescent="0.25">
      <c r="A4" s="12" t="s">
        <v>239</v>
      </c>
    </row>
    <row r="5" spans="1:9" ht="37.5" customHeight="1" x14ac:dyDescent="0.25">
      <c r="A5" s="103" t="s">
        <v>269</v>
      </c>
      <c r="B5" s="103"/>
      <c r="C5" s="103"/>
      <c r="D5" s="103"/>
      <c r="E5" s="103"/>
      <c r="F5" s="103"/>
      <c r="G5" s="103"/>
      <c r="H5" s="103"/>
      <c r="I5" s="54"/>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8" t="s">
        <v>240</v>
      </c>
      <c r="B8" s="98"/>
      <c r="C8" s="98"/>
      <c r="D8" s="98"/>
      <c r="E8" s="98"/>
      <c r="F8" s="98"/>
      <c r="G8" s="98"/>
      <c r="H8" s="98"/>
      <c r="I8" s="54"/>
    </row>
    <row r="10" spans="1:9" x14ac:dyDescent="0.25">
      <c r="A10" s="29" t="s">
        <v>241</v>
      </c>
    </row>
    <row r="11" spans="1:9" x14ac:dyDescent="0.25">
      <c r="A11" t="s">
        <v>242</v>
      </c>
    </row>
    <row r="31" spans="1:1" x14ac:dyDescent="0.25">
      <c r="A31" s="29"/>
    </row>
    <row r="35" spans="1:3" x14ac:dyDescent="0.25">
      <c r="A35" s="29" t="s">
        <v>243</v>
      </c>
    </row>
    <row r="36" spans="1:3" ht="15.75" thickBot="1" x14ac:dyDescent="0.3">
      <c r="A36" s="41" t="s">
        <v>193</v>
      </c>
    </row>
    <row r="37" spans="1:3" ht="45.75" thickBot="1" x14ac:dyDescent="0.3">
      <c r="A37" s="34" t="s">
        <v>276</v>
      </c>
      <c r="B37" s="35" t="s">
        <v>233</v>
      </c>
      <c r="C37" s="35" t="s">
        <v>234</v>
      </c>
    </row>
    <row r="38" spans="1:3" ht="15.75" thickBot="1" x14ac:dyDescent="0.3">
      <c r="A38" s="42">
        <f>VLOOKUP($A36,lookup_helper!$B:$I,MATCH("projval_2016",lookup_helper!$1:$1,0)-1,FALSE)</f>
        <v>7.072357263990954E-2</v>
      </c>
      <c r="B38" s="42">
        <f>VLOOKUP($A36,lookup_helper!$B:$I,MATCH("CommunityType_2016",lookup_helper!$B$1:$I$1,0),FALSE)</f>
        <v>0.1343871705182399</v>
      </c>
      <c r="C38" s="42">
        <f>VLOOKUP($A36,lookup_helper!$B:$I,MATCH("REGION_2016",lookup_helper!$B$1:$I$1,0),FALSE)</f>
        <v>0.13021497769289109</v>
      </c>
    </row>
  </sheetData>
  <mergeCells count="2">
    <mergeCell ref="A8:H8"/>
    <mergeCell ref="A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zoomScaleNormal="100" workbookViewId="0">
      <selection activeCell="A70" sqref="A70"/>
    </sheetView>
  </sheetViews>
  <sheetFormatPr defaultRowHeight="15" x14ac:dyDescent="0.25"/>
  <cols>
    <col min="1" max="1" width="14.7109375" customWidth="1"/>
    <col min="2" max="2" width="15.4257812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244</v>
      </c>
    </row>
    <row r="5" spans="1:8" s="28" customFormat="1" ht="35.25" customHeight="1" x14ac:dyDescent="0.25">
      <c r="A5" s="98" t="s">
        <v>245</v>
      </c>
      <c r="B5" s="98"/>
      <c r="C5" s="98"/>
      <c r="D5" s="98"/>
      <c r="E5" s="98"/>
      <c r="F5" s="98"/>
      <c r="G5" s="98"/>
      <c r="H5" s="98"/>
    </row>
    <row r="7" spans="1:8" x14ac:dyDescent="0.25">
      <c r="A7" s="29" t="s">
        <v>247</v>
      </c>
    </row>
    <row r="8" spans="1:8" x14ac:dyDescent="0.25">
      <c r="A8" s="43">
        <f>VLOOKUP(lookup_helper!B86,lookup_helper!$B:$D,3,FALSE)</f>
        <v>56</v>
      </c>
    </row>
    <row r="11" spans="1:8" x14ac:dyDescent="0.25">
      <c r="A11" s="41" t="s">
        <v>246</v>
      </c>
    </row>
    <row r="12" spans="1:8" x14ac:dyDescent="0.25">
      <c r="A12" t="s">
        <v>248</v>
      </c>
    </row>
    <row r="33" spans="1:3" x14ac:dyDescent="0.25">
      <c r="A33" s="29"/>
    </row>
    <row r="36" spans="1:3" x14ac:dyDescent="0.25">
      <c r="A36" s="29" t="s">
        <v>303</v>
      </c>
    </row>
    <row r="38" spans="1:3" ht="15.75" thickBot="1" x14ac:dyDescent="0.3">
      <c r="A38" s="46" t="s">
        <v>149</v>
      </c>
    </row>
    <row r="39" spans="1:3" ht="45.75" thickBot="1" x14ac:dyDescent="0.3">
      <c r="A39" s="34" t="s">
        <v>304</v>
      </c>
      <c r="B39" s="35" t="s">
        <v>233</v>
      </c>
      <c r="C39" s="35" t="s">
        <v>234</v>
      </c>
    </row>
    <row r="40" spans="1:3" ht="15.75" thickBot="1" x14ac:dyDescent="0.3">
      <c r="A40" s="47">
        <f>VLOOKUP($A38,lookup_helper!$B:$I,MATCH("projval_2016",lookup_helper!$1:$1,0)-1,FALSE)</f>
        <v>41.285465803940781</v>
      </c>
      <c r="B40" s="47">
        <f>VLOOKUP($A38,lookup_helper!$B:$I,MATCH("CommunityType_2016",lookup_helper!$B$1:$I$1,0),FALSE)</f>
        <v>61.135362311155802</v>
      </c>
      <c r="C40" s="47">
        <f>VLOOKUP($A38,lookup_helper!$B:$I,MATCH("REGION_2016",lookup_helper!$B$1:$I$1,0),FALSE)</f>
        <v>63.369834818958772</v>
      </c>
    </row>
    <row r="41" spans="1:3" x14ac:dyDescent="0.25">
      <c r="A41" t="s">
        <v>305</v>
      </c>
    </row>
    <row r="48" spans="1:3" x14ac:dyDescent="0.25">
      <c r="A48" s="29" t="s">
        <v>249</v>
      </c>
    </row>
    <row r="69" spans="1:3" x14ac:dyDescent="0.25">
      <c r="A69" s="29" t="s">
        <v>312</v>
      </c>
    </row>
    <row r="70" spans="1:3" ht="15.75" thickBot="1" x14ac:dyDescent="0.3">
      <c r="A70" s="78" t="s">
        <v>301</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zoomScaleNormal="100" workbookViewId="0">
      <selection activeCell="H2" sqref="H2"/>
    </sheetView>
  </sheetViews>
  <sheetFormatPr defaultRowHeight="15" x14ac:dyDescent="0.25"/>
  <cols>
    <col min="7" max="7" width="15.7109375" customWidth="1"/>
    <col min="8" max="8" width="14.8554687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252</v>
      </c>
    </row>
    <row r="6" spans="1:8" x14ac:dyDescent="0.25">
      <c r="A6" s="29" t="s">
        <v>253</v>
      </c>
    </row>
    <row r="7" spans="1:8" x14ac:dyDescent="0.25">
      <c r="A7" s="43">
        <f>VLOOKUP("Project Pavement Condition Index (PCI)",lookup_helper!$B:$D,3,FALSE)</f>
        <v>60</v>
      </c>
    </row>
    <row r="9" spans="1:8" x14ac:dyDescent="0.25">
      <c r="A9" s="29" t="s">
        <v>254</v>
      </c>
    </row>
    <row r="10" spans="1:8" x14ac:dyDescent="0.25">
      <c r="A10" s="49">
        <f>VLOOKUP("Project AADT",lookup_helper!$B:$D,3,FALSE)</f>
        <v>60000</v>
      </c>
    </row>
    <row r="13" spans="1:8" x14ac:dyDescent="0.25">
      <c r="A13" s="29" t="s">
        <v>292</v>
      </c>
    </row>
    <row r="14" spans="1:8" x14ac:dyDescent="0.25">
      <c r="A14" s="92">
        <f>VLOOKUP("Complete street score",lookup_helper!$B:$D,3,FALSE)</f>
        <v>-1</v>
      </c>
    </row>
    <row r="16" spans="1:8" ht="163.5" customHeight="1" x14ac:dyDescent="0.25">
      <c r="A16" s="103" t="s">
        <v>300</v>
      </c>
      <c r="B16" s="103"/>
      <c r="C16" s="103"/>
      <c r="D16" s="103"/>
      <c r="E16" s="103"/>
      <c r="F16" s="103"/>
      <c r="G16" s="103"/>
      <c r="H16" s="103"/>
    </row>
  </sheetData>
  <mergeCells count="1">
    <mergeCell ref="A16:H1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255</v>
      </c>
    </row>
    <row r="5" spans="1:8" x14ac:dyDescent="0.25">
      <c r="A5" s="29" t="s">
        <v>277</v>
      </c>
    </row>
    <row r="6" spans="1:8" x14ac:dyDescent="0.25">
      <c r="A6" s="49">
        <f>lookup_helper!D95*lookup_helper!D72</f>
        <v>4050</v>
      </c>
    </row>
    <row r="9" spans="1:8" ht="15.75" thickBot="1" x14ac:dyDescent="0.3">
      <c r="A9" s="29" t="s">
        <v>278</v>
      </c>
    </row>
    <row r="10" spans="1:8" ht="45.75" thickBot="1" x14ac:dyDescent="0.3">
      <c r="A10" s="34" t="s">
        <v>256</v>
      </c>
      <c r="B10" s="35" t="s">
        <v>233</v>
      </c>
      <c r="C10" s="35" t="s">
        <v>234</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257</v>
      </c>
    </row>
    <row r="16" spans="1:8" x14ac:dyDescent="0.25">
      <c r="A16" s="29" t="s">
        <v>279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4" spans="1:1" x14ac:dyDescent="0.25">
      <c r="A34" s="66" t="s">
        <v>258</v>
      </c>
    </row>
    <row r="72" spans="1:7" ht="27.75" customHeight="1" x14ac:dyDescent="0.25">
      <c r="A72" s="99" t="s">
        <v>237</v>
      </c>
      <c r="B72" s="99"/>
      <c r="C72" s="99"/>
      <c r="D72" s="99"/>
      <c r="E72" s="99"/>
      <c r="F72" s="99"/>
      <c r="G72" s="99"/>
    </row>
    <row r="86" spans="8:9" x14ac:dyDescent="0.25">
      <c r="H86" s="64"/>
      <c r="I86" s="64"/>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6" activePane="bottomLeft" state="frozen"/>
      <selection activeCell="B110" sqref="B110"/>
      <selection pane="bottomLeft" activeCell="A26" sqref="A26"/>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282</v>
      </c>
      <c r="B3" t="s">
        <v>280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250</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6">
        <v>1.3624389724527719</v>
      </c>
      <c r="D68" s="5">
        <v>2.2999999999999998</v>
      </c>
      <c r="E68" s="5">
        <v>0.19527333899999999</v>
      </c>
    </row>
    <row r="69" spans="1:5" x14ac:dyDescent="0.25">
      <c r="A69" s="2" t="s">
        <v>66</v>
      </c>
      <c r="B69" s="76">
        <v>1.475654647382425</v>
      </c>
      <c r="D69" s="5">
        <v>2.6</v>
      </c>
      <c r="E69" s="5">
        <v>0.18979411900000001</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35" activePane="bottomLeft" state="frozen"/>
      <selection activeCell="B110" sqref="B110"/>
      <selection pane="bottomLeft" activeCell="B55" sqref="B55"/>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2" t="s">
        <v>274</v>
      </c>
      <c r="Q18" s="60">
        <f t="array" ref="Q18">MAX(IF(ISNUMBER(SEARCH("calc_len",import!$A:$A)),import!$B:$B))</f>
        <v>7460.2525126827086</v>
      </c>
      <c r="R18" s="61"/>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59" t="s">
        <v>273</v>
      </c>
      <c r="Q19" s="63">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236</v>
      </c>
      <c r="C60" t="s">
        <v>210</v>
      </c>
      <c r="D60" s="3">
        <f>VLOOKUP($A60,import!$A:$G,MATCH(lookup_helper!D$1,import!$A$1:$G$1,0),FALSE)</f>
        <v>0.1021114271418558</v>
      </c>
      <c r="E60" s="3">
        <f>VLOOKUP($A60,import!$A:$G,MATCH(lookup_helper!E$1,import!$A$1:$G$1,0),FALSE)</f>
        <v>0</v>
      </c>
      <c r="F60" s="3">
        <f>VLOOKUP($A60,import!$A:$G,MATCH(lookup_helper!F$1,import!$A$1:$G$1,0),FALSE)</f>
        <v>5.8844134774233253E-2</v>
      </c>
      <c r="G60" s="3">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s="3">
        <f>VLOOKUP($A61,import!$A:$G,MATCH(lookup_helper!D$1,import!$A$1:$G$1,0),FALSE)</f>
        <v>1.872619731652339</v>
      </c>
      <c r="E61" s="3">
        <f>VLOOKUP($A61,import!$A:$G,MATCH(lookup_helper!E$1,import!$A$1:$G$1,0),FALSE)</f>
        <v>0</v>
      </c>
      <c r="F61" s="3">
        <f>VLOOKUP($A61,import!$A:$G,MATCH(lookup_helper!F$1,import!$A$1:$G$1,0),FALSE)</f>
        <v>7.4149284958128156E-2</v>
      </c>
      <c r="G61" s="3">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235</v>
      </c>
      <c r="C62" t="s">
        <v>210</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s="90">
        <f>VLOOKUP($A63,import!$A:$G,MATCH(lookup_helper!D$1,import!$A$1:$G$1,0),FALSE)</f>
        <v>13.047842643653521</v>
      </c>
      <c r="E63" s="90">
        <f>VLOOKUP($A63,import!$A:$G,MATCH(lookup_helper!E$1,import!$A$1:$G$1,0),FALSE)</f>
        <v>69.301955921047991</v>
      </c>
      <c r="F63" s="90">
        <f>VLOOKUP($A63,import!$A:$G,MATCH(lookup_helper!F$1,import!$A$1:$G$1,0),FALSE)</f>
        <v>0</v>
      </c>
      <c r="G63" s="90">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s="3">
        <f>VLOOKUP($A64,import!$A:$G,MATCH(lookup_helper!D$1,import!$A$1:$G$1,0),FALSE)</f>
        <v>1.3710956366053659</v>
      </c>
      <c r="E64" s="3">
        <f>VLOOKUP($A64,import!$A:$G,MATCH(lookup_helper!E$1,import!$A$1:$G$1,0),FALSE)</f>
        <v>1.3582230858271871</v>
      </c>
      <c r="F64" s="3">
        <f>VLOOKUP($A64,import!$A:$G,MATCH(lookup_helper!F$1,import!$A$1:$G$1,0),FALSE)</f>
        <v>0</v>
      </c>
      <c r="G64" s="3">
        <f>VLOOKUP($A64,import!$A:$G,MATCH(lookup_helper!G$1,import!$A$1:$G$1,0),FALSE)</f>
        <v>0</v>
      </c>
      <c r="H64">
        <f>VLOOKUP($A64,import!$A:$G,MATCH(lookup_helper!H$1,import!$A$1:$G$1,0),FALSE)</f>
        <v>0</v>
      </c>
      <c r="I64">
        <f>VLOOKUP($A64,import!$A:$G,MATCH(lookup_helper!I$1,import!$A$1:$G$1,0),FALSE)</f>
        <v>0</v>
      </c>
    </row>
    <row r="65" spans="1:9" s="84" customFormat="1" ht="30" x14ac:dyDescent="0.25">
      <c r="A65" s="84" t="s">
        <v>30</v>
      </c>
      <c r="B65" s="83" t="s">
        <v>158</v>
      </c>
      <c r="C65" s="84" t="s">
        <v>208</v>
      </c>
      <c r="D65" s="82">
        <f>VLOOKUP($A65,import!$A:$G,MATCH(lookup_helper!D$1,import!$A$1:$G$1,0),FALSE)</f>
        <v>1175.845221386116</v>
      </c>
      <c r="E65" s="82">
        <f>VLOOKUP($A65,import!$A:$G,MATCH(lookup_helper!E$1,import!$A$1:$G$1,0),FALSE)</f>
        <v>0</v>
      </c>
      <c r="F65" s="82">
        <f>VLOOKUP($A65,import!$A:$G,MATCH(lookup_helper!F$1,import!$A$1:$G$1,0),FALSE)</f>
        <v>0</v>
      </c>
      <c r="G65" s="82">
        <f>VLOOKUP($A65,import!$A:$G,MATCH(lookup_helper!G$1,import!$A$1:$G$1,0),FALSE)</f>
        <v>0</v>
      </c>
      <c r="H65" s="84">
        <f>VLOOKUP($A65,import!$A:$G,MATCH(lookup_helper!H$1,import!$A$1:$G$1,0),FALSE)</f>
        <v>0</v>
      </c>
      <c r="I65" s="84">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4" customFormat="1" x14ac:dyDescent="0.25">
      <c r="A80" s="84" t="s">
        <v>88</v>
      </c>
      <c r="B80" s="83" t="s">
        <v>185</v>
      </c>
      <c r="C80" s="84" t="s">
        <v>213</v>
      </c>
      <c r="D80" s="82">
        <f>VLOOKUP($A80,import!$A:$G,MATCH(lookup_helper!D$1,import!$A$1:$G$1,0),FALSE)</f>
        <v>1916</v>
      </c>
      <c r="E80" s="82">
        <f>VLOOKUP($A80,import!$A:$G,MATCH(lookup_helper!E$1,import!$A$1:$G$1,0),FALSE)</f>
        <v>2072.611115859987</v>
      </c>
      <c r="F80" s="84">
        <f>VLOOKUP($A80,import!$A:$G,MATCH(lookup_helper!F$1,import!$A$1:$G$1,0),FALSE)</f>
        <v>0</v>
      </c>
      <c r="G80" s="84">
        <f>VLOOKUP($A80,import!$A:$G,MATCH(lookup_helper!G$1,import!$A$1:$G$1,0),FALSE)</f>
        <v>0</v>
      </c>
      <c r="H80" s="84">
        <f>VLOOKUP($A80,import!$A:$G,MATCH(lookup_helper!H$1,import!$A$1:$G$1,0),FALSE)</f>
        <v>0</v>
      </c>
      <c r="I80" s="84">
        <f>VLOOKUP($A80,import!$A:$G,MATCH(lookup_helper!I$1,import!$A$1:$G$1,0),FALSE)</f>
        <v>0</v>
      </c>
    </row>
    <row r="81" spans="1:16" s="84" customFormat="1" x14ac:dyDescent="0.25">
      <c r="A81" s="84" t="s">
        <v>89</v>
      </c>
      <c r="B81" s="83" t="s">
        <v>183</v>
      </c>
      <c r="C81" s="84" t="s">
        <v>213</v>
      </c>
      <c r="D81" s="82">
        <f>VLOOKUP($A81,import!$A:$G,MATCH(lookup_helper!D$1,import!$A$1:$G$1,0),FALSE)</f>
        <v>1769</v>
      </c>
      <c r="E81" s="82">
        <f>VLOOKUP($A81,import!$A:$G,MATCH(lookup_helper!E$1,import!$A$1:$G$1,0),FALSE)</f>
        <v>2761.6599999999989</v>
      </c>
      <c r="F81" s="84">
        <f>VLOOKUP($A81,import!$A:$G,MATCH(lookup_helper!F$1,import!$A$1:$G$1,0),FALSE)</f>
        <v>0</v>
      </c>
      <c r="G81" s="84">
        <f>VLOOKUP($A81,import!$A:$G,MATCH(lookup_helper!G$1,import!$A$1:$G$1,0),FALSE)</f>
        <v>0</v>
      </c>
      <c r="H81" s="84">
        <f>VLOOKUP($A81,import!$A:$G,MATCH(lookup_helper!H$1,import!$A$1:$G$1,0),FALSE)</f>
        <v>0</v>
      </c>
      <c r="I81" s="84">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4" customFormat="1" x14ac:dyDescent="0.25">
      <c r="A83" s="82" t="s">
        <v>65</v>
      </c>
      <c r="B83" s="83" t="s">
        <v>176</v>
      </c>
      <c r="C83" s="84" t="s">
        <v>214</v>
      </c>
      <c r="D83" s="85">
        <f>VLOOKUP($A83,import!$A:$G,MATCH(lookup_helper!D$1,import!$A$1:$G$1,0),FALSE)</f>
        <v>1.3624389724527719</v>
      </c>
      <c r="E83" s="85">
        <f>VLOOKUP($A83,import!$A:$G,MATCH(lookup_helper!E$1,import!$A$1:$G$1,0),FALSE)</f>
        <v>0</v>
      </c>
      <c r="F83" s="85">
        <f>VLOOKUP($A83,import!$A:$G,MATCH(lookup_helper!F$1,import!$A$1:$G$1,0),FALSE)</f>
        <v>2.2999999999999998</v>
      </c>
      <c r="G83" s="85">
        <f>VLOOKUP($A83,import!$A:$G,MATCH(lookup_helper!G$1,import!$A$1:$G$1,0),FALSE)</f>
        <v>0.19527333899999999</v>
      </c>
      <c r="H83" s="85">
        <f>VLOOKUP($A83,import!$A:$G,MATCH(lookup_helper!H$1,import!$A$1:$G$1,0),FALSE)</f>
        <v>0</v>
      </c>
      <c r="I83" s="85">
        <f>VLOOKUP($A83,import!$A:$G,MATCH(lookup_helper!I$1,import!$A$1:$G$1,0),FALSE)</f>
        <v>0</v>
      </c>
    </row>
    <row r="84" spans="1:16" s="84" customFormat="1" ht="30" x14ac:dyDescent="0.25">
      <c r="A84" s="82" t="s">
        <v>66</v>
      </c>
      <c r="B84" s="83" t="s">
        <v>177</v>
      </c>
      <c r="C84" s="84" t="s">
        <v>214</v>
      </c>
      <c r="D84" s="85">
        <f>VLOOKUP($A84,import!$A:$G,MATCH(lookup_helper!D$1,import!$A$1:$G$1,0),FALSE)</f>
        <v>1.475654647382425</v>
      </c>
      <c r="E84" s="85">
        <f>VLOOKUP($A84,import!$A:$G,MATCH(lookup_helper!E$1,import!$A$1:$G$1,0),FALSE)</f>
        <v>0</v>
      </c>
      <c r="F84" s="85">
        <f>VLOOKUP($A84,import!$A:$G,MATCH(lookup_helper!F$1,import!$A$1:$G$1,0),FALSE)</f>
        <v>2.6</v>
      </c>
      <c r="G84" s="85">
        <f>VLOOKUP($A84,import!$A:$G,MATCH(lookup_helper!G$1,import!$A$1:$G$1,0),FALSE)</f>
        <v>0.18979411900000001</v>
      </c>
      <c r="H84" s="85">
        <f>VLOOKUP($A84,import!$A:$G,MATCH(lookup_helper!H$1,import!$A$1:$G$1,0),FALSE)</f>
        <v>0</v>
      </c>
      <c r="I84" s="85">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s="91">
        <f>VLOOKUP($A87,import!$A:$G,MATCH(lookup_helper!D$1,import!$A$1:$G$1,0),FALSE)</f>
        <v>41.285465803940781</v>
      </c>
      <c r="E87" s="91">
        <f>VLOOKUP($A87,import!$A:$G,MATCH(lookup_helper!E$1,import!$A$1:$G$1,0),FALSE)</f>
        <v>0</v>
      </c>
      <c r="F87" s="91">
        <f>VLOOKUP($A87,import!$A:$G,MATCH(lookup_helper!F$1,import!$A$1:$G$1,0),FALSE)</f>
        <v>61.135362311155802</v>
      </c>
      <c r="G87" s="91">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s="91">
        <f>VLOOKUP($A89,import!$A:$G,MATCH(lookup_helper!D$1,import!$A$1:$G$1,0),FALSE)</f>
        <v>1.474480921569314</v>
      </c>
      <c r="E89" s="91">
        <f>VLOOKUP($A89,import!$A:$G,MATCH(lookup_helper!E$1,import!$A$1:$G$1,0),FALSE)</f>
        <v>0</v>
      </c>
      <c r="F89" s="91">
        <f>VLOOKUP($A89,import!$A:$G,MATCH(lookup_helper!F$1,import!$A$1:$G$1,0),FALSE)</f>
        <v>1.6732642555122741</v>
      </c>
      <c r="G89" s="91">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301</v>
      </c>
      <c r="C92" t="s">
        <v>205</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263</v>
      </c>
      <c r="C96" t="s">
        <v>215</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259</v>
      </c>
      <c r="P96" s="28"/>
    </row>
    <row r="97" spans="1:16" x14ac:dyDescent="0.25">
      <c r="A97" s="2" t="s">
        <v>72</v>
      </c>
      <c r="B97" s="28" t="s">
        <v>264</v>
      </c>
      <c r="C97" t="s">
        <v>215</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259</v>
      </c>
      <c r="P97" s="28"/>
    </row>
    <row r="98" spans="1:16" x14ac:dyDescent="0.25">
      <c r="A98" s="1" t="s">
        <v>73</v>
      </c>
      <c r="B98" s="28" t="s">
        <v>265</v>
      </c>
      <c r="C98" t="s">
        <v>215</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259</v>
      </c>
      <c r="P98" s="28"/>
    </row>
    <row r="99" spans="1:16" x14ac:dyDescent="0.25">
      <c r="A99" s="1" t="s">
        <v>74</v>
      </c>
      <c r="B99" s="28" t="s">
        <v>266</v>
      </c>
      <c r="C99" t="s">
        <v>215</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259</v>
      </c>
      <c r="P99" s="28"/>
    </row>
    <row r="100" spans="1:16" x14ac:dyDescent="0.25">
      <c r="A100" s="1" t="s">
        <v>75</v>
      </c>
      <c r="B100" s="28" t="s">
        <v>263</v>
      </c>
      <c r="C100" t="s">
        <v>215</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260</v>
      </c>
      <c r="P100" s="28"/>
    </row>
    <row r="101" spans="1:16" x14ac:dyDescent="0.25">
      <c r="A101" s="1" t="s">
        <v>76</v>
      </c>
      <c r="B101" s="28" t="s">
        <v>264</v>
      </c>
      <c r="C101" t="s">
        <v>215</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260</v>
      </c>
      <c r="P101" s="28"/>
    </row>
    <row r="102" spans="1:16" x14ac:dyDescent="0.25">
      <c r="A102" s="1" t="s">
        <v>77</v>
      </c>
      <c r="B102" s="28" t="s">
        <v>265</v>
      </c>
      <c r="C102" t="s">
        <v>215</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260</v>
      </c>
      <c r="P102" s="28"/>
    </row>
    <row r="103" spans="1:16" x14ac:dyDescent="0.25">
      <c r="A103" s="1" t="s">
        <v>78</v>
      </c>
      <c r="B103" s="28" t="s">
        <v>266</v>
      </c>
      <c r="C103" t="s">
        <v>215</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260</v>
      </c>
      <c r="P103" s="28"/>
    </row>
    <row r="104" spans="1:16" x14ac:dyDescent="0.25">
      <c r="A104" t="s">
        <v>79</v>
      </c>
      <c r="B104" s="28" t="s">
        <v>263</v>
      </c>
      <c r="C104" t="s">
        <v>215</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261</v>
      </c>
      <c r="P104" s="28"/>
    </row>
    <row r="105" spans="1:16" x14ac:dyDescent="0.25">
      <c r="A105" t="s">
        <v>80</v>
      </c>
      <c r="B105" s="28" t="s">
        <v>264</v>
      </c>
      <c r="C105" t="s">
        <v>215</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261</v>
      </c>
      <c r="P105" s="28"/>
    </row>
    <row r="106" spans="1:16" x14ac:dyDescent="0.25">
      <c r="A106" t="s">
        <v>81</v>
      </c>
      <c r="B106" s="28" t="s">
        <v>265</v>
      </c>
      <c r="C106" t="s">
        <v>215</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261</v>
      </c>
      <c r="P106" s="28"/>
    </row>
    <row r="107" spans="1:16" x14ac:dyDescent="0.25">
      <c r="A107" t="s">
        <v>82</v>
      </c>
      <c r="B107" s="28" t="s">
        <v>266</v>
      </c>
      <c r="C107" t="s">
        <v>215</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261</v>
      </c>
      <c r="P107" s="28"/>
    </row>
    <row r="108" spans="1:16" x14ac:dyDescent="0.25">
      <c r="A108" t="s">
        <v>83</v>
      </c>
      <c r="B108" s="28" t="s">
        <v>263</v>
      </c>
      <c r="C108" t="s">
        <v>215</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262</v>
      </c>
      <c r="P108" s="28"/>
    </row>
    <row r="109" spans="1:16" x14ac:dyDescent="0.25">
      <c r="A109" t="s">
        <v>84</v>
      </c>
      <c r="B109" s="28" t="s">
        <v>264</v>
      </c>
      <c r="C109" t="s">
        <v>215</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262</v>
      </c>
      <c r="P109" s="28"/>
    </row>
    <row r="110" spans="1:16" x14ac:dyDescent="0.25">
      <c r="A110" t="s">
        <v>85</v>
      </c>
      <c r="B110" s="28" t="s">
        <v>267</v>
      </c>
      <c r="C110" t="s">
        <v>215</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262</v>
      </c>
      <c r="P110" s="28"/>
    </row>
    <row r="111" spans="1:16" x14ac:dyDescent="0.25">
      <c r="A111" t="s">
        <v>86</v>
      </c>
      <c r="B111" s="28" t="s">
        <v>266</v>
      </c>
      <c r="C111" t="s">
        <v>215</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262</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282</v>
      </c>
      <c r="B113" s="28" t="s">
        <v>281</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250</v>
      </c>
      <c r="B118" s="28" t="s">
        <v>251</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2020-08-25T18:52:58Z</cp:lastPrinted>
  <dcterms:created xsi:type="dcterms:W3CDTF">2020-01-07T23:38:49Z</dcterms:created>
  <dcterms:modified xsi:type="dcterms:W3CDTF">2020-10-29T22:22:05Z</dcterms:modified>
</cp:coreProperties>
</file>