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charts/chart7.xml" ContentType="application/vnd.openxmlformats-officedocument.drawingml.chart+xml"/>
  <Override PartName="/xl/drawings/drawing4.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6.xml" ContentType="application/vnd.openxmlformats-officedocument.drawing+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7.xml" ContentType="application/vnd.openxmlformats-officedocument.drawing+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8.xml" ContentType="application/vnd.openxmlformats-officedocument.drawing+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dconly\GitRepos\PPA2\ppa\Input_Template\XLSX\"/>
    </mc:Choice>
  </mc:AlternateContent>
  <xr:revisionPtr revIDLastSave="0" documentId="13_ncr:1_{D6358AE1-9404-4615-A536-C92E0CE49E05}" xr6:coauthVersionLast="47" xr6:coauthVersionMax="47" xr10:uidLastSave="{00000000-0000-0000-0000-000000000000}"/>
  <bookViews>
    <workbookView xWindow="11970" yWindow="195" windowWidth="24255" windowHeight="14970" tabRatio="712" firstSheet="4" activeTab="8" xr2:uid="{00000000-000D-0000-FFFF-FFFF00000000}"/>
  </bookViews>
  <sheets>
    <sheet name="0ATitlePg" sheetId="4" r:id="rId1"/>
    <sheet name="0BUsingThisReport" sheetId="14" r:id="rId2"/>
    <sheet name="1ReduceVMT" sheetId="2" r:id="rId3"/>
    <sheet name="2ReduceCongestion" sheetId="3" r:id="rId4"/>
    <sheet name="3Multimodal" sheetId="6" r:id="rId5"/>
    <sheet name="4EconProsperity" sheetId="7" r:id="rId6"/>
    <sheet name="5Freight" sheetId="8" r:id="rId7"/>
    <sheet name="6Safety" sheetId="9" r:id="rId8"/>
    <sheet name="7SGR" sheetId="10" r:id="rId9"/>
    <sheet name="8SocioEconEquity" sheetId="15" r:id="rId10"/>
    <sheet name="import" sheetId="1" r:id="rId11"/>
    <sheet name="lookup_helper" sheetId="5" r:id="rId12"/>
  </sheets>
  <definedNames>
    <definedName name="_xlnm._FilterDatabase" localSheetId="10" hidden="1">import!$A$1:$G$117</definedName>
    <definedName name="_xlnm._FilterDatabase" localSheetId="11" hidden="1">lookup_helper!$A$3:$I$119</definedName>
    <definedName name="_Hlk20929805" localSheetId="5">'4EconProsperity'!$A$68</definedName>
    <definedName name="_Hlk20929868" localSheetId="8">'7SGR'!$A$4</definedName>
    <definedName name="_xlnm.Print_Area" localSheetId="2">'1ReduceVMT'!$A$1:$H$68</definedName>
    <definedName name="_xlnm.Print_Area" localSheetId="4">'3Multimodal'!$A$1:$H$115</definedName>
    <definedName name="_xlnm.Print_Area" localSheetId="6">'5Freight'!$A$1:$H$66</definedName>
    <definedName name="_xlnm.Print_Area" localSheetId="9">'8SocioEconEquity'!$A$1:$H$88</definedName>
    <definedName name="_xlnm.Print_Titles" localSheetId="2">'1ReduceVMT'!$1:$2</definedName>
    <definedName name="_xlnm.Print_Titles" localSheetId="3">'2ReduceCongestion'!$1:$2</definedName>
    <definedName name="_xlnm.Print_Titles" localSheetId="4">'3Multimodal'!$1:$2</definedName>
    <definedName name="_xlnm.Print_Titles" localSheetId="5">'4EconProsperity'!$1:$2</definedName>
    <definedName name="_xlnm.Print_Titles" localSheetId="6">'5Freight'!$1:$2</definedName>
    <definedName name="_xlnm.Print_Titles" localSheetId="7">'6Safety'!$1:$2</definedName>
    <definedName name="_xlnm.Print_Titles" localSheetId="8">'7SGR'!$1:$2</definedName>
    <definedName name="_xlnm.Print_Titles" localSheetId="9">'8SocioEconEquity'!$1:$2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1" i="15" l="1"/>
  <c r="B11" i="15"/>
  <c r="A11" i="15"/>
  <c r="A6" i="15"/>
  <c r="H2" i="15"/>
  <c r="H1" i="15"/>
  <c r="E113" i="5" l="1"/>
  <c r="F113" i="5"/>
  <c r="G113" i="5"/>
  <c r="H113" i="5"/>
  <c r="I113" i="5"/>
  <c r="D113" i="5" l="1"/>
  <c r="E32" i="4" s="1"/>
  <c r="Q18" i="5" l="1" a="1"/>
  <c r="Q18" i="5" s="1"/>
  <c r="D118" i="5" l="1"/>
  <c r="E37" i="4" s="1"/>
  <c r="E118" i="5"/>
  <c r="F118" i="5"/>
  <c r="G118" i="5"/>
  <c r="H118" i="5"/>
  <c r="I118" i="5"/>
  <c r="Q19" i="5" l="1"/>
  <c r="D62" i="5"/>
  <c r="D57" i="5"/>
  <c r="D5" i="5" l="1"/>
  <c r="E5" i="5"/>
  <c r="F5" i="5"/>
  <c r="G5" i="5"/>
  <c r="H5" i="5"/>
  <c r="I5" i="5"/>
  <c r="D6" i="5"/>
  <c r="E6" i="5"/>
  <c r="F6" i="5"/>
  <c r="G6" i="5"/>
  <c r="H6" i="5"/>
  <c r="I6" i="5"/>
  <c r="D7" i="5"/>
  <c r="E7" i="5"/>
  <c r="F7" i="5"/>
  <c r="G7" i="5"/>
  <c r="H7" i="5"/>
  <c r="I7" i="5"/>
  <c r="D8" i="5"/>
  <c r="E8" i="5"/>
  <c r="F8" i="5"/>
  <c r="G8" i="5"/>
  <c r="H8" i="5"/>
  <c r="I8" i="5"/>
  <c r="D9" i="5"/>
  <c r="E9" i="5"/>
  <c r="F9" i="5"/>
  <c r="G9" i="5"/>
  <c r="H9" i="5"/>
  <c r="I9" i="5"/>
  <c r="D10" i="5"/>
  <c r="E10" i="5"/>
  <c r="F10" i="5"/>
  <c r="G10" i="5"/>
  <c r="H10" i="5"/>
  <c r="I10" i="5"/>
  <c r="D11" i="5"/>
  <c r="E11" i="5"/>
  <c r="F11" i="5"/>
  <c r="G11" i="5"/>
  <c r="H11" i="5"/>
  <c r="I11" i="5"/>
  <c r="D12" i="5"/>
  <c r="E12" i="5"/>
  <c r="F12" i="5"/>
  <c r="G12" i="5"/>
  <c r="H12" i="5"/>
  <c r="I12" i="5"/>
  <c r="D13" i="5"/>
  <c r="E13" i="5"/>
  <c r="F13" i="5"/>
  <c r="G13" i="5"/>
  <c r="H13" i="5"/>
  <c r="I13" i="5"/>
  <c r="D14" i="5"/>
  <c r="E14" i="5"/>
  <c r="F14" i="5"/>
  <c r="G14" i="5"/>
  <c r="H14" i="5"/>
  <c r="I14" i="5"/>
  <c r="D15" i="5"/>
  <c r="E15" i="5"/>
  <c r="F15" i="5"/>
  <c r="G15" i="5"/>
  <c r="H15" i="5"/>
  <c r="I15" i="5"/>
  <c r="D16" i="5"/>
  <c r="E16" i="5"/>
  <c r="F16" i="5"/>
  <c r="G16" i="5"/>
  <c r="H16" i="5"/>
  <c r="I16" i="5"/>
  <c r="D17" i="5"/>
  <c r="E17" i="5"/>
  <c r="F17" i="5"/>
  <c r="G17" i="5"/>
  <c r="H17" i="5"/>
  <c r="I17" i="5"/>
  <c r="D18" i="5"/>
  <c r="E18" i="5"/>
  <c r="F18" i="5"/>
  <c r="G18" i="5"/>
  <c r="H18" i="5"/>
  <c r="I18" i="5"/>
  <c r="D19" i="5"/>
  <c r="E19" i="5"/>
  <c r="F19" i="5"/>
  <c r="G19" i="5"/>
  <c r="H19" i="5"/>
  <c r="I19" i="5"/>
  <c r="D20" i="5"/>
  <c r="E20" i="5"/>
  <c r="F20" i="5"/>
  <c r="G20" i="5"/>
  <c r="H20" i="5"/>
  <c r="I20" i="5"/>
  <c r="D21" i="5"/>
  <c r="E21" i="5"/>
  <c r="F21" i="5"/>
  <c r="G21" i="5"/>
  <c r="H21" i="5"/>
  <c r="I21" i="5"/>
  <c r="D22" i="5"/>
  <c r="E22" i="5"/>
  <c r="F22" i="5"/>
  <c r="G22" i="5"/>
  <c r="H22" i="5"/>
  <c r="I22" i="5"/>
  <c r="D23" i="5"/>
  <c r="E23" i="5"/>
  <c r="F23" i="5"/>
  <c r="G23" i="5"/>
  <c r="H23" i="5"/>
  <c r="I23" i="5"/>
  <c r="D24" i="5"/>
  <c r="E24" i="5"/>
  <c r="F24" i="5"/>
  <c r="G24" i="5"/>
  <c r="H24" i="5"/>
  <c r="I24" i="5"/>
  <c r="D25" i="5"/>
  <c r="E25" i="5"/>
  <c r="F25" i="5"/>
  <c r="G25" i="5"/>
  <c r="H25" i="5"/>
  <c r="I25" i="5"/>
  <c r="D26" i="5"/>
  <c r="E26" i="5"/>
  <c r="F26" i="5"/>
  <c r="G26" i="5"/>
  <c r="H26" i="5"/>
  <c r="I26" i="5"/>
  <c r="D27" i="5"/>
  <c r="E27" i="5"/>
  <c r="F27" i="5"/>
  <c r="G27" i="5"/>
  <c r="H27" i="5"/>
  <c r="I27" i="5"/>
  <c r="D28" i="5"/>
  <c r="E28" i="5"/>
  <c r="F28" i="5"/>
  <c r="G28" i="5"/>
  <c r="H28" i="5"/>
  <c r="I28" i="5"/>
  <c r="D29" i="5"/>
  <c r="E29" i="5"/>
  <c r="F29" i="5"/>
  <c r="G29" i="5"/>
  <c r="H29" i="5"/>
  <c r="I29" i="5"/>
  <c r="D30" i="5"/>
  <c r="E30" i="5"/>
  <c r="F30" i="5"/>
  <c r="G30" i="5"/>
  <c r="H30" i="5"/>
  <c r="I30" i="5"/>
  <c r="D31" i="5"/>
  <c r="E31" i="5"/>
  <c r="F31" i="5"/>
  <c r="G31" i="5"/>
  <c r="H31" i="5"/>
  <c r="I31" i="5"/>
  <c r="D32" i="5"/>
  <c r="E32" i="5"/>
  <c r="F32" i="5"/>
  <c r="G32" i="5"/>
  <c r="H32" i="5"/>
  <c r="I32" i="5"/>
  <c r="D33" i="5"/>
  <c r="E33" i="5"/>
  <c r="F33" i="5"/>
  <c r="G33" i="5"/>
  <c r="H33" i="5"/>
  <c r="I33" i="5"/>
  <c r="D34" i="5"/>
  <c r="E34" i="5"/>
  <c r="F34" i="5"/>
  <c r="G34" i="5"/>
  <c r="H34" i="5"/>
  <c r="I34" i="5"/>
  <c r="D35" i="5"/>
  <c r="E35" i="5"/>
  <c r="F35" i="5"/>
  <c r="G35" i="5"/>
  <c r="H35" i="5"/>
  <c r="I35" i="5"/>
  <c r="D36" i="5"/>
  <c r="E36" i="5"/>
  <c r="F36" i="5"/>
  <c r="G36" i="5"/>
  <c r="H36" i="5"/>
  <c r="I36" i="5"/>
  <c r="D37" i="5"/>
  <c r="E37" i="5"/>
  <c r="F37" i="5"/>
  <c r="G37" i="5"/>
  <c r="H37" i="5"/>
  <c r="I37" i="5"/>
  <c r="D38" i="5"/>
  <c r="E38" i="5"/>
  <c r="F38" i="5"/>
  <c r="G38" i="5"/>
  <c r="H38" i="5"/>
  <c r="I38" i="5"/>
  <c r="D39" i="5"/>
  <c r="E39" i="5"/>
  <c r="F39" i="5"/>
  <c r="G39" i="5"/>
  <c r="H39" i="5"/>
  <c r="I39" i="5"/>
  <c r="D40" i="5"/>
  <c r="E40" i="5"/>
  <c r="F40" i="5"/>
  <c r="G40" i="5"/>
  <c r="H40" i="5"/>
  <c r="I40" i="5"/>
  <c r="D41" i="5"/>
  <c r="E41" i="5"/>
  <c r="F41" i="5"/>
  <c r="G41" i="5"/>
  <c r="H41" i="5"/>
  <c r="I41" i="5"/>
  <c r="D42" i="5"/>
  <c r="E42" i="5"/>
  <c r="F42" i="5"/>
  <c r="G42" i="5"/>
  <c r="H42" i="5"/>
  <c r="I42" i="5"/>
  <c r="D43" i="5"/>
  <c r="E43" i="5"/>
  <c r="F43" i="5"/>
  <c r="G43" i="5"/>
  <c r="H43" i="5"/>
  <c r="I43" i="5"/>
  <c r="D44" i="5"/>
  <c r="E44" i="5"/>
  <c r="F44" i="5"/>
  <c r="G44" i="5"/>
  <c r="H44" i="5"/>
  <c r="I44" i="5"/>
  <c r="D45" i="5"/>
  <c r="E45" i="5"/>
  <c r="F45" i="5"/>
  <c r="G45" i="5"/>
  <c r="H45" i="5"/>
  <c r="I45" i="5"/>
  <c r="D46" i="5"/>
  <c r="E46" i="5"/>
  <c r="F46" i="5"/>
  <c r="G46" i="5"/>
  <c r="H46" i="5"/>
  <c r="I46" i="5"/>
  <c r="D47" i="5"/>
  <c r="E47" i="5"/>
  <c r="F47" i="5"/>
  <c r="G47" i="5"/>
  <c r="H47" i="5"/>
  <c r="I47" i="5"/>
  <c r="D48" i="5"/>
  <c r="E48" i="5"/>
  <c r="F48" i="5"/>
  <c r="G48" i="5"/>
  <c r="H48" i="5"/>
  <c r="I48" i="5"/>
  <c r="D49" i="5"/>
  <c r="E49" i="5"/>
  <c r="F49" i="5"/>
  <c r="G49" i="5"/>
  <c r="H49" i="5"/>
  <c r="I49" i="5"/>
  <c r="D50" i="5"/>
  <c r="E50" i="5"/>
  <c r="F50" i="5"/>
  <c r="G50" i="5"/>
  <c r="H50" i="5"/>
  <c r="I50" i="5"/>
  <c r="D51" i="5"/>
  <c r="E51" i="5"/>
  <c r="F51" i="5"/>
  <c r="G51" i="5"/>
  <c r="H51" i="5"/>
  <c r="I51" i="5"/>
  <c r="D52" i="5"/>
  <c r="E52" i="5"/>
  <c r="F52" i="5"/>
  <c r="G52" i="5"/>
  <c r="H52" i="5"/>
  <c r="I52" i="5"/>
  <c r="D53" i="5"/>
  <c r="E53" i="5"/>
  <c r="F53" i="5"/>
  <c r="G53" i="5"/>
  <c r="H53" i="5"/>
  <c r="I53" i="5"/>
  <c r="D54" i="5"/>
  <c r="E54" i="5"/>
  <c r="F54" i="5"/>
  <c r="G54" i="5"/>
  <c r="H54" i="5"/>
  <c r="I54" i="5"/>
  <c r="D55" i="5"/>
  <c r="A47" i="7" s="1"/>
  <c r="E55" i="5"/>
  <c r="F55" i="5"/>
  <c r="G55" i="5"/>
  <c r="H55" i="5"/>
  <c r="I55" i="5"/>
  <c r="D56" i="5"/>
  <c r="E56" i="5"/>
  <c r="F56" i="5"/>
  <c r="G56" i="5"/>
  <c r="H56" i="5"/>
  <c r="I56" i="5"/>
  <c r="E57" i="5"/>
  <c r="F57" i="5"/>
  <c r="G57" i="5"/>
  <c r="H57" i="5"/>
  <c r="I57" i="5"/>
  <c r="D58" i="5"/>
  <c r="E58" i="5"/>
  <c r="F58" i="5"/>
  <c r="G58" i="5"/>
  <c r="H58" i="5"/>
  <c r="I58" i="5"/>
  <c r="D59" i="5"/>
  <c r="E59" i="5"/>
  <c r="F59" i="5"/>
  <c r="G59" i="5"/>
  <c r="H59" i="5"/>
  <c r="I59" i="5"/>
  <c r="D60" i="5"/>
  <c r="E60" i="5"/>
  <c r="F60" i="5"/>
  <c r="G60" i="5"/>
  <c r="H60" i="5"/>
  <c r="I60" i="5"/>
  <c r="D61" i="5"/>
  <c r="E61" i="5"/>
  <c r="F61" i="5"/>
  <c r="G61" i="5"/>
  <c r="H61" i="5"/>
  <c r="I61" i="5"/>
  <c r="E62" i="5"/>
  <c r="F62" i="5"/>
  <c r="G62" i="5"/>
  <c r="H62" i="5"/>
  <c r="I62" i="5"/>
  <c r="D63" i="5"/>
  <c r="E63" i="5"/>
  <c r="F63" i="5"/>
  <c r="G63" i="5"/>
  <c r="H63" i="5"/>
  <c r="I63" i="5"/>
  <c r="D64" i="5"/>
  <c r="E64" i="5"/>
  <c r="F64" i="5"/>
  <c r="G64" i="5"/>
  <c r="H64" i="5"/>
  <c r="I64" i="5"/>
  <c r="D65" i="5"/>
  <c r="E65" i="5"/>
  <c r="F65" i="5"/>
  <c r="G65" i="5"/>
  <c r="H65" i="5"/>
  <c r="I65" i="5"/>
  <c r="D66" i="5"/>
  <c r="E66" i="5"/>
  <c r="F66" i="5"/>
  <c r="G66" i="5"/>
  <c r="H66" i="5"/>
  <c r="I66" i="5"/>
  <c r="D67" i="5"/>
  <c r="E67" i="5"/>
  <c r="F67" i="5"/>
  <c r="G67" i="5"/>
  <c r="H67" i="5"/>
  <c r="I67" i="5"/>
  <c r="D68" i="5"/>
  <c r="E68" i="5"/>
  <c r="F68" i="5"/>
  <c r="G68" i="5"/>
  <c r="H68" i="5"/>
  <c r="I68" i="5"/>
  <c r="D69" i="5"/>
  <c r="E69" i="5"/>
  <c r="F69" i="5"/>
  <c r="G69" i="5"/>
  <c r="H69" i="5"/>
  <c r="I69" i="5"/>
  <c r="D70" i="5"/>
  <c r="E70" i="5"/>
  <c r="F70" i="5"/>
  <c r="G70" i="5"/>
  <c r="H70" i="5"/>
  <c r="I70" i="5"/>
  <c r="D71" i="5"/>
  <c r="E71" i="5"/>
  <c r="F71" i="5"/>
  <c r="G71" i="5"/>
  <c r="H71" i="5"/>
  <c r="I71" i="5"/>
  <c r="D72" i="5"/>
  <c r="E72" i="5"/>
  <c r="F72" i="5"/>
  <c r="G72" i="5"/>
  <c r="H72" i="5"/>
  <c r="I72" i="5"/>
  <c r="D73" i="5"/>
  <c r="E73" i="5"/>
  <c r="F73" i="5"/>
  <c r="G73" i="5"/>
  <c r="H73" i="5"/>
  <c r="I73" i="5"/>
  <c r="D74" i="5"/>
  <c r="E74" i="5"/>
  <c r="F74" i="5"/>
  <c r="G74" i="5"/>
  <c r="H74" i="5"/>
  <c r="I74" i="5"/>
  <c r="D75" i="5"/>
  <c r="E75" i="5"/>
  <c r="F75" i="5"/>
  <c r="G75" i="5"/>
  <c r="H75" i="5"/>
  <c r="I75" i="5"/>
  <c r="D76" i="5"/>
  <c r="E76" i="5"/>
  <c r="F76" i="5"/>
  <c r="G76" i="5"/>
  <c r="H76" i="5"/>
  <c r="I76" i="5"/>
  <c r="D77" i="5"/>
  <c r="E77" i="5"/>
  <c r="F77" i="5"/>
  <c r="G77" i="5"/>
  <c r="H77" i="5"/>
  <c r="I77" i="5"/>
  <c r="D78" i="5"/>
  <c r="E78" i="5"/>
  <c r="F78" i="5"/>
  <c r="G78" i="5"/>
  <c r="H78" i="5"/>
  <c r="I78" i="5"/>
  <c r="D79" i="5"/>
  <c r="E79" i="5"/>
  <c r="F79" i="5"/>
  <c r="G79" i="5"/>
  <c r="H79" i="5"/>
  <c r="I79" i="5"/>
  <c r="D80" i="5"/>
  <c r="E80" i="5"/>
  <c r="F80" i="5"/>
  <c r="G80" i="5"/>
  <c r="H80" i="5"/>
  <c r="I80" i="5"/>
  <c r="D81" i="5"/>
  <c r="E81" i="5"/>
  <c r="F81" i="5"/>
  <c r="G81" i="5"/>
  <c r="H81" i="5"/>
  <c r="I81" i="5"/>
  <c r="D82" i="5"/>
  <c r="E82" i="5"/>
  <c r="F82" i="5"/>
  <c r="G82" i="5"/>
  <c r="H82" i="5"/>
  <c r="I82" i="5"/>
  <c r="D83" i="5"/>
  <c r="E83" i="5"/>
  <c r="F83" i="5"/>
  <c r="G83" i="5"/>
  <c r="H83" i="5"/>
  <c r="I83" i="5"/>
  <c r="D84" i="5"/>
  <c r="E84" i="5"/>
  <c r="F84" i="5"/>
  <c r="G84" i="5"/>
  <c r="H84" i="5"/>
  <c r="I84" i="5"/>
  <c r="D85" i="5"/>
  <c r="E85" i="5"/>
  <c r="F85" i="5"/>
  <c r="G85" i="5"/>
  <c r="H85" i="5"/>
  <c r="I85" i="5"/>
  <c r="D86" i="5"/>
  <c r="E86" i="5"/>
  <c r="F86" i="5"/>
  <c r="G86" i="5"/>
  <c r="H86" i="5"/>
  <c r="I86" i="5"/>
  <c r="D87" i="5"/>
  <c r="E87" i="5"/>
  <c r="F87" i="5"/>
  <c r="G87" i="5"/>
  <c r="H87" i="5"/>
  <c r="I87" i="5"/>
  <c r="D88" i="5"/>
  <c r="E88" i="5"/>
  <c r="F88" i="5"/>
  <c r="G88" i="5"/>
  <c r="H88" i="5"/>
  <c r="I88" i="5"/>
  <c r="D89" i="5"/>
  <c r="E89" i="5"/>
  <c r="F89" i="5"/>
  <c r="G89" i="5"/>
  <c r="H89" i="5"/>
  <c r="I89" i="5"/>
  <c r="D90" i="5"/>
  <c r="E90" i="5"/>
  <c r="F90" i="5"/>
  <c r="G90" i="5"/>
  <c r="H90" i="5"/>
  <c r="I90" i="5"/>
  <c r="D91" i="5"/>
  <c r="E91" i="5"/>
  <c r="F91" i="5"/>
  <c r="G91" i="5"/>
  <c r="H91" i="5"/>
  <c r="I91" i="5"/>
  <c r="D92" i="5"/>
  <c r="E92" i="5"/>
  <c r="F92" i="5"/>
  <c r="G92" i="5"/>
  <c r="H92" i="5"/>
  <c r="I92" i="5"/>
  <c r="D93" i="5"/>
  <c r="E93" i="5"/>
  <c r="F93" i="5"/>
  <c r="G93" i="5"/>
  <c r="H93" i="5"/>
  <c r="I93" i="5"/>
  <c r="D94" i="5"/>
  <c r="E94" i="5"/>
  <c r="F94" i="5"/>
  <c r="G94" i="5"/>
  <c r="H94" i="5"/>
  <c r="I94" i="5"/>
  <c r="D95" i="5"/>
  <c r="E95" i="5"/>
  <c r="F95" i="5"/>
  <c r="G95" i="5"/>
  <c r="H95" i="5"/>
  <c r="I95" i="5"/>
  <c r="D96" i="5"/>
  <c r="E96" i="5"/>
  <c r="F96" i="5"/>
  <c r="G96" i="5"/>
  <c r="H96" i="5"/>
  <c r="I96" i="5"/>
  <c r="D97" i="5"/>
  <c r="E97" i="5"/>
  <c r="F97" i="5"/>
  <c r="G97" i="5"/>
  <c r="H97" i="5"/>
  <c r="I97" i="5"/>
  <c r="D98" i="5"/>
  <c r="E98" i="5"/>
  <c r="F98" i="5"/>
  <c r="G98" i="5"/>
  <c r="H98" i="5"/>
  <c r="I98" i="5"/>
  <c r="D99" i="5"/>
  <c r="E99" i="5"/>
  <c r="F99" i="5"/>
  <c r="G99" i="5"/>
  <c r="H99" i="5"/>
  <c r="I99" i="5"/>
  <c r="D100" i="5"/>
  <c r="E100" i="5"/>
  <c r="F100" i="5"/>
  <c r="G100" i="5"/>
  <c r="H100" i="5"/>
  <c r="I100" i="5"/>
  <c r="D101" i="5"/>
  <c r="E101" i="5"/>
  <c r="F101" i="5"/>
  <c r="G101" i="5"/>
  <c r="H101" i="5"/>
  <c r="I101" i="5"/>
  <c r="D102" i="5"/>
  <c r="E102" i="5"/>
  <c r="F102" i="5"/>
  <c r="G102" i="5"/>
  <c r="H102" i="5"/>
  <c r="I102" i="5"/>
  <c r="D103" i="5"/>
  <c r="E103" i="5"/>
  <c r="F103" i="5"/>
  <c r="G103" i="5"/>
  <c r="H103" i="5"/>
  <c r="I103" i="5"/>
  <c r="D104" i="5"/>
  <c r="E104" i="5"/>
  <c r="F104" i="5"/>
  <c r="G104" i="5"/>
  <c r="H104" i="5"/>
  <c r="I104" i="5"/>
  <c r="D105" i="5"/>
  <c r="E105" i="5"/>
  <c r="F105" i="5"/>
  <c r="G105" i="5"/>
  <c r="H105" i="5"/>
  <c r="I105" i="5"/>
  <c r="D106" i="5"/>
  <c r="E106" i="5"/>
  <c r="F106" i="5"/>
  <c r="G106" i="5"/>
  <c r="H106" i="5"/>
  <c r="I106" i="5"/>
  <c r="D107" i="5"/>
  <c r="E107" i="5"/>
  <c r="F107" i="5"/>
  <c r="G107" i="5"/>
  <c r="H107" i="5"/>
  <c r="I107" i="5"/>
  <c r="D108" i="5"/>
  <c r="E108" i="5"/>
  <c r="F108" i="5"/>
  <c r="G108" i="5"/>
  <c r="H108" i="5"/>
  <c r="I108" i="5"/>
  <c r="D109" i="5"/>
  <c r="E109" i="5"/>
  <c r="F109" i="5"/>
  <c r="G109" i="5"/>
  <c r="H109" i="5"/>
  <c r="I109" i="5"/>
  <c r="D110" i="5"/>
  <c r="E110" i="5"/>
  <c r="F110" i="5"/>
  <c r="G110" i="5"/>
  <c r="H110" i="5"/>
  <c r="I110" i="5"/>
  <c r="D111" i="5"/>
  <c r="E111" i="5"/>
  <c r="F111" i="5"/>
  <c r="G111" i="5"/>
  <c r="H111" i="5"/>
  <c r="I111" i="5"/>
  <c r="D112" i="5"/>
  <c r="E112" i="5"/>
  <c r="F112" i="5"/>
  <c r="G112" i="5"/>
  <c r="H112" i="5"/>
  <c r="I112" i="5"/>
  <c r="D114" i="5"/>
  <c r="E33" i="4" s="1"/>
  <c r="E114" i="5"/>
  <c r="F114" i="5"/>
  <c r="G114" i="5"/>
  <c r="H114" i="5"/>
  <c r="I114" i="5"/>
  <c r="D115" i="5"/>
  <c r="E115" i="5"/>
  <c r="F115" i="5"/>
  <c r="G115" i="5"/>
  <c r="H115" i="5"/>
  <c r="I115" i="5"/>
  <c r="D116" i="5"/>
  <c r="E116" i="5"/>
  <c r="F116" i="5"/>
  <c r="G116" i="5"/>
  <c r="H116" i="5"/>
  <c r="I116" i="5"/>
  <c r="D117" i="5"/>
  <c r="E36" i="4" s="1"/>
  <c r="E117" i="5"/>
  <c r="F117" i="5"/>
  <c r="G117" i="5"/>
  <c r="H117" i="5"/>
  <c r="I117" i="5"/>
  <c r="D119" i="5"/>
  <c r="E119" i="5"/>
  <c r="F119" i="5"/>
  <c r="G119" i="5"/>
  <c r="H119" i="5"/>
  <c r="I119" i="5"/>
  <c r="E4" i="5"/>
  <c r="F4" i="5"/>
  <c r="G4" i="5"/>
  <c r="H4" i="5"/>
  <c r="I4" i="5"/>
  <c r="D4" i="5"/>
  <c r="E38" i="4" l="1"/>
  <c r="E34" i="4"/>
  <c r="E35" i="4"/>
  <c r="E31" i="4"/>
  <c r="A32" i="7"/>
  <c r="Q13" i="5"/>
  <c r="Q7" i="5"/>
  <c r="Q15" i="5" s="1" a="1"/>
  <c r="R13" i="5"/>
  <c r="R7" i="5"/>
  <c r="C22" i="3" s="1"/>
  <c r="B13" i="5"/>
  <c r="B14" i="5"/>
  <c r="B15" i="5"/>
  <c r="B16" i="5"/>
  <c r="B17" i="5"/>
  <c r="B12" i="5"/>
  <c r="C48" i="8" s="1"/>
  <c r="Q14" i="5" l="1" a="1"/>
  <c r="R17" i="5" a="1"/>
  <c r="Q9" i="5" a="1"/>
  <c r="H1" i="6"/>
  <c r="H2" i="10"/>
  <c r="A9" i="6"/>
  <c r="A8" i="9"/>
  <c r="H1" i="9"/>
  <c r="A7" i="10"/>
  <c r="H2" i="6"/>
  <c r="B52" i="6"/>
  <c r="B38" i="9"/>
  <c r="H1" i="7"/>
  <c r="H2" i="9"/>
  <c r="A6" i="8"/>
  <c r="Q9" i="5"/>
  <c r="B22" i="3"/>
  <c r="H1" i="8"/>
  <c r="A10" i="10"/>
  <c r="H2" i="7"/>
  <c r="C52" i="6"/>
  <c r="B48" i="8"/>
  <c r="H1" i="2"/>
  <c r="H2" i="8"/>
  <c r="A38" i="9"/>
  <c r="C38" i="9"/>
  <c r="R14" i="5" a="1"/>
  <c r="Q8" i="5" a="1"/>
  <c r="R16" i="5" a="1"/>
  <c r="H2" i="2"/>
  <c r="A48" i="8"/>
  <c r="Q17" i="5" a="1"/>
  <c r="Q17" i="5" s="1"/>
  <c r="R8" i="5" a="1"/>
  <c r="Q16" i="5" a="1"/>
  <c r="H1" i="3"/>
  <c r="A52" i="6"/>
  <c r="B9" i="6"/>
  <c r="C72" i="9"/>
  <c r="B72" i="9"/>
  <c r="A72" i="9"/>
  <c r="A26" i="3"/>
  <c r="A16" i="6"/>
  <c r="R9" i="5" a="1"/>
  <c r="R15" i="5" a="1"/>
  <c r="H1" i="10"/>
  <c r="H2" i="3"/>
  <c r="C16" i="6"/>
  <c r="C9" i="6"/>
  <c r="B16" i="6"/>
  <c r="Q14" i="5"/>
  <c r="R14" i="5"/>
  <c r="Q16" i="5"/>
  <c r="Q15" i="5"/>
  <c r="Q8" i="5"/>
  <c r="A2" i="4"/>
  <c r="B23" i="3" l="1"/>
  <c r="R16" i="5"/>
  <c r="R15" i="5"/>
  <c r="R9" i="5"/>
  <c r="C23" i="3" s="1"/>
  <c r="R17" i="5"/>
  <c r="R8" i="5"/>
</calcChain>
</file>

<file path=xl/sharedStrings.xml><?xml version="1.0" encoding="utf-8"?>
<sst xmlns="http://schemas.openxmlformats.org/spreadsheetml/2006/main" count="647" uniqueCount="314">
  <si>
    <t>data_item</t>
  </si>
  <si>
    <t>project_name</t>
  </si>
  <si>
    <t>project_type</t>
  </si>
  <si>
    <t>project_aadt</t>
  </si>
  <si>
    <t>project_pci</t>
  </si>
  <si>
    <t>project_speedlim</t>
  </si>
  <si>
    <t>project_communtype</t>
  </si>
  <si>
    <t>WALKDESTSalljob</t>
  </si>
  <si>
    <t>BIKEDESTSalljob</t>
  </si>
  <si>
    <t>AUTODESTSalljob</t>
  </si>
  <si>
    <t>TRANDESTSalljob</t>
  </si>
  <si>
    <t>WALKDESTSedu</t>
  </si>
  <si>
    <t>BIKEDESTSedu</t>
  </si>
  <si>
    <t>AUTODESTSedu</t>
  </si>
  <si>
    <t>TRANDESTSedu</t>
  </si>
  <si>
    <t>WALKDESTSpoi2</t>
  </si>
  <si>
    <t>BIKEDESTSpoi2</t>
  </si>
  <si>
    <t>AUTODESTSpoi2</t>
  </si>
  <si>
    <t>TRANDESTSpoi2</t>
  </si>
  <si>
    <t>TOT_COLLISNS</t>
  </si>
  <si>
    <t>TOT_COLLISNS_PER_100MVMT</t>
  </si>
  <si>
    <t>FATAL_COLLISNS</t>
  </si>
  <si>
    <t>FATAL_COLLISNS_PER_100MVMT</t>
  </si>
  <si>
    <t>PCT_FATAL_COLLISNS</t>
  </si>
  <si>
    <t>BIKEPED_COLLISNS</t>
  </si>
  <si>
    <t>BIKEPED_COLLISNS_PER_CLMILE</t>
  </si>
  <si>
    <t>PCT_BIKEPED_COLLISNS</t>
  </si>
  <si>
    <t>complete_street_score</t>
  </si>
  <si>
    <t>pct_proj_STAATruckRoutes</t>
  </si>
  <si>
    <t>Trk_Veh_Pc_proj</t>
  </si>
  <si>
    <t>total_net_pcl_acres</t>
  </si>
  <si>
    <t>net_Agriculture_acres</t>
  </si>
  <si>
    <t>pct_Agriculture_inbuff</t>
  </si>
  <si>
    <t>Intersxn_34_per_acre</t>
  </si>
  <si>
    <t>NORTHBOUND_calc_len</t>
  </si>
  <si>
    <t>NORTHBOUNDff_speed</t>
  </si>
  <si>
    <t>NORTHBOUNDhavg_spd_worst4hrs</t>
  </si>
  <si>
    <t>NORTHBOUNDlottr_ampk</t>
  </si>
  <si>
    <t>NORTHBOUNDlottr_midday</t>
  </si>
  <si>
    <t>NORTHBOUNDlottr_pmpk</t>
  </si>
  <si>
    <t>NORTHBOUNDlottr_wknd</t>
  </si>
  <si>
    <t>SOUTHBOUND_calc_len</t>
  </si>
  <si>
    <t>SOUTHBOUNDff_speed</t>
  </si>
  <si>
    <t>SOUTHBOUNDhavg_spd_worst4hrs</t>
  </si>
  <si>
    <t>SOUTHBOUNDlottr_ampk</t>
  </si>
  <si>
    <t>SOUTHBOUNDlottr_midday</t>
  </si>
  <si>
    <t>SOUTHBOUNDlottr_pmpk</t>
  </si>
  <si>
    <t>SOUTHBOUNDlottr_wknd</t>
  </si>
  <si>
    <t>EASTBOUND_calc_len</t>
  </si>
  <si>
    <t>EASTBOUNDff_speed</t>
  </si>
  <si>
    <t>EASTBOUNDhavg_spd_worst4hrs</t>
  </si>
  <si>
    <t>EASTBOUNDlottr_ampk</t>
  </si>
  <si>
    <t>EASTBOUNDlottr_midday</t>
  </si>
  <si>
    <t>EASTBOUNDlottr_pmpk</t>
  </si>
  <si>
    <t>EASTBOUNDlottr_wknd</t>
  </si>
  <si>
    <t>WESTBOUND_calc_len</t>
  </si>
  <si>
    <t>WESTBOUNDff_speed</t>
  </si>
  <si>
    <t>WESTBOUNDhavg_spd_worst4hrs</t>
  </si>
  <si>
    <t>WESTBOUNDlottr_ampk</t>
  </si>
  <si>
    <t>WESTBOUNDlottr_midday</t>
  </si>
  <si>
    <t>WESTBOUNDlottr_pmpk</t>
  </si>
  <si>
    <t>WESTBOUNDlottr_wknd</t>
  </si>
  <si>
    <t>TrnVehStop_Acre</t>
  </si>
  <si>
    <t>pct_roadmi_bikeways</t>
  </si>
  <si>
    <t>Project's use of existing assets</t>
  </si>
  <si>
    <t>EMPTOT_NetPclAcre</t>
  </si>
  <si>
    <t>DU_TOT_NetPclAcre</t>
  </si>
  <si>
    <t>job_du_perNetAcre</t>
  </si>
  <si>
    <t>Pop_NonEJArea</t>
  </si>
  <si>
    <t>Pop_EJArea</t>
  </si>
  <si>
    <t>Pct_PopEJArea</t>
  </si>
  <si>
    <t>WALKDESTSalljob_EJ</t>
  </si>
  <si>
    <t>BIKEDESTSalljob_EJ</t>
  </si>
  <si>
    <t>AUTODESTSalljob_EJ</t>
  </si>
  <si>
    <t>TRANDESTSalljob_EJ</t>
  </si>
  <si>
    <t>WALKDESTSlowjobs_EJ</t>
  </si>
  <si>
    <t>BIKEDESTSlowjobs_EJ</t>
  </si>
  <si>
    <t>AUTODESTSlowjobs_EJ</t>
  </si>
  <si>
    <t>TRANDESTSlowjob_EJ</t>
  </si>
  <si>
    <t>WALKDESTSedu_EJ</t>
  </si>
  <si>
    <t>BIKEDESTSedu_EJ</t>
  </si>
  <si>
    <t>AUTODESTSedu_EJ</t>
  </si>
  <si>
    <t>TRANDESTSedu_EJ</t>
  </si>
  <si>
    <t>WALKDESTSpoi2_EJ</t>
  </si>
  <si>
    <t>BIKEDESTSpoi2_EJ</t>
  </si>
  <si>
    <t>AUTODESTSpoi2_EJ</t>
  </si>
  <si>
    <t>TRANDESTSpoi2_EJ</t>
  </si>
  <si>
    <t>POP_TOT</t>
  </si>
  <si>
    <t>DU_TOT</t>
  </si>
  <si>
    <t>EMPTOT</t>
  </si>
  <si>
    <t>ENR_K12</t>
  </si>
  <si>
    <t>EMPIND</t>
  </si>
  <si>
    <t>PT_TOT_RES</t>
  </si>
  <si>
    <t>SOV_TOT_RES</t>
  </si>
  <si>
    <t>HOV_TOT_RES</t>
  </si>
  <si>
    <t>TRN_TOT_RES</t>
  </si>
  <si>
    <t>BIK_TOT_RES</t>
  </si>
  <si>
    <t>WLK_TOT_RES</t>
  </si>
  <si>
    <t>EMPIND_jobshare</t>
  </si>
  <si>
    <t>SOV_TOT_RES_share</t>
  </si>
  <si>
    <t>HOV_TOT_RES_share</t>
  </si>
  <si>
    <t>TRN_TOT_RES_share</t>
  </si>
  <si>
    <t>BIK_TOT_RES_share</t>
  </si>
  <si>
    <t>WLK_TOT_RES_share</t>
  </si>
  <si>
    <t>SUM_JOB_DU</t>
  </si>
  <si>
    <t>avg_2way_trantrips</t>
  </si>
  <si>
    <t>avg_2way_vehocc</t>
  </si>
  <si>
    <t>mix_index</t>
  </si>
  <si>
    <t>High Density</t>
  </si>
  <si>
    <t>Low Density</t>
  </si>
  <si>
    <t>Med-High Density</t>
  </si>
  <si>
    <t>Medium Density</t>
  </si>
  <si>
    <t>Mixed Use</t>
  </si>
  <si>
    <t>Very Low or Rural Res Density</t>
  </si>
  <si>
    <t>nat_resource_acres</t>
  </si>
  <si>
    <t>projval_2016</t>
  </si>
  <si>
    <t>projval_2040</t>
  </si>
  <si>
    <t>REGION_2016</t>
  </si>
  <si>
    <t>REGION_2040</t>
  </si>
  <si>
    <t>Infill project</t>
  </si>
  <si>
    <t>test_project_YubaCity</t>
  </si>
  <si>
    <t>Freeway</t>
  </si>
  <si>
    <t>Small-Town Established Communities</t>
  </si>
  <si>
    <t>&lt;insert project map&gt;</t>
  </si>
  <si>
    <t>Project Summary</t>
  </si>
  <si>
    <t>Reduce Vehicle Miles Traveled (VMT) per Capita</t>
  </si>
  <si>
    <t>Reduce congestion</t>
  </si>
  <si>
    <t>data_item_raw</t>
  </si>
  <si>
    <t>item_report_name</t>
  </si>
  <si>
    <t>Project name</t>
  </si>
  <si>
    <t>Project type</t>
  </si>
  <si>
    <t>Project AADT</t>
  </si>
  <si>
    <t>Project Pavement Condition Index (PCI)</t>
  </si>
  <si>
    <t>Posted Speed Limit</t>
  </si>
  <si>
    <t>Project Community Type</t>
  </si>
  <si>
    <t>Jobs within 30-Min Walk</t>
  </si>
  <si>
    <t>Jobs within 30-Min Biking</t>
  </si>
  <si>
    <t>Jobs within 30-Min Drive</t>
  </si>
  <si>
    <t>Jobs within 45-Min Transit</t>
  </si>
  <si>
    <t>Edu Facilities within 30-Min Walk</t>
  </si>
  <si>
    <t>Edu Facilities within 30-Min Biking</t>
  </si>
  <si>
    <t>Edu Facilities within 30-Min Drive</t>
  </si>
  <si>
    <t>Edu Facilities within 45-Min Transit</t>
  </si>
  <si>
    <t>Services within 30-Min Walk</t>
  </si>
  <si>
    <t>Services within 30-Min Biking</t>
  </si>
  <si>
    <t>Services within 15-Min Drive</t>
  </si>
  <si>
    <t>Services within 45-Min Transit</t>
  </si>
  <si>
    <t>PerformanceOutcomes</t>
  </si>
  <si>
    <t>Total collisions</t>
  </si>
  <si>
    <t>Collisions per 100M VMT</t>
  </si>
  <si>
    <t>Fatal collisions</t>
  </si>
  <si>
    <t>Fatal collisions per 100M VMT</t>
  </si>
  <si>
    <t>Pct of collisions that are fatal</t>
  </si>
  <si>
    <t>Collisions with bike/ped</t>
  </si>
  <si>
    <t>Percent of collisions with bike/ped</t>
  </si>
  <si>
    <t>Complete street score</t>
  </si>
  <si>
    <t>Percent of project centerline miles designated as STAA truck route</t>
  </si>
  <si>
    <t>Percent of traffic that is trucks</t>
  </si>
  <si>
    <t>Total acres of land on parcels within project area</t>
  </si>
  <si>
    <t>Ag acres within project area</t>
  </si>
  <si>
    <t>Share of land that is Ag use within project area</t>
  </si>
  <si>
    <t>(unused)</t>
  </si>
  <si>
    <t>Free-flow speed</t>
  </si>
  <si>
    <t>Average congested speed</t>
  </si>
  <si>
    <t>AM peak TT reliability</t>
  </si>
  <si>
    <t>PM peak TT reliability</t>
  </si>
  <si>
    <t>Weekend TT reliability</t>
  </si>
  <si>
    <t>Speed Data Table</t>
  </si>
  <si>
    <t>Travel Speed</t>
  </si>
  <si>
    <t>Travel Reliability</t>
  </si>
  <si>
    <t>NB</t>
  </si>
  <si>
    <t>SB</t>
  </si>
  <si>
    <t>EB</t>
  </si>
  <si>
    <t>WB</t>
  </si>
  <si>
    <t>index_help</t>
  </si>
  <si>
    <t>Transit vehicle stops per acre</t>
  </si>
  <si>
    <t>Jobs per acre within project area</t>
  </si>
  <si>
    <t>Dwelling units per acre within project area</t>
  </si>
  <si>
    <t>Combined job + dwelling units per acre within project area</t>
  </si>
  <si>
    <t>Non-EJ population within project area</t>
  </si>
  <si>
    <t>Percent of project area residents within an EJ community</t>
  </si>
  <si>
    <t>People within project area living within Environmental Justice (EJ) community</t>
  </si>
  <si>
    <t>Total population</t>
  </si>
  <si>
    <t>Jobs</t>
  </si>
  <si>
    <t>Jobs in industrial sectors</t>
  </si>
  <si>
    <t>Dwelling units</t>
  </si>
  <si>
    <t>K-12 school enrollment</t>
  </si>
  <si>
    <t>Total trips</t>
  </si>
  <si>
    <t>Single-occupant vehicle trips</t>
  </si>
  <si>
    <t>Carpool trips</t>
  </si>
  <si>
    <t>Transit trips</t>
  </si>
  <si>
    <t>Biking trips</t>
  </si>
  <si>
    <t>Walking trips</t>
  </si>
  <si>
    <t>Share of jobs in industrial sectors</t>
  </si>
  <si>
    <t>Total jobs + dwelling units</t>
  </si>
  <si>
    <t>Average weekday transit vehicle trips</t>
  </si>
  <si>
    <t>Average vehicle occupancy</t>
  </si>
  <si>
    <t>Land use mix index</t>
  </si>
  <si>
    <t>Acres of natural resources</t>
  </si>
  <si>
    <t>Community Type 2016</t>
  </si>
  <si>
    <t>Community Type 2040</t>
  </si>
  <si>
    <t>Region 2016</t>
  </si>
  <si>
    <t>Region 2040</t>
  </si>
  <si>
    <t>TitlePg</t>
  </si>
  <si>
    <t>EconProsperity</t>
  </si>
  <si>
    <t>Safety</t>
  </si>
  <si>
    <t>SGR</t>
  </si>
  <si>
    <t>Freight</t>
  </si>
  <si>
    <t>NA</t>
  </si>
  <si>
    <t>Ag</t>
  </si>
  <si>
    <t>Multimodal</t>
  </si>
  <si>
    <t>Congestion</t>
  </si>
  <si>
    <t>CommDesign</t>
  </si>
  <si>
    <t>ReduceVMT</t>
  </si>
  <si>
    <t>ReduceVMT (SGR)</t>
  </si>
  <si>
    <t>SocialEquity</t>
  </si>
  <si>
    <t>Multimodal (Freeway)</t>
  </si>
  <si>
    <t>Project</t>
  </si>
  <si>
    <t>Community Type</t>
  </si>
  <si>
    <t>Region</t>
  </si>
  <si>
    <t>Midday TT reliability</t>
  </si>
  <si>
    <t>CommunityType_2016</t>
  </si>
  <si>
    <t>CommunityType_2040</t>
  </si>
  <si>
    <t>Increase multi-modal travel</t>
  </si>
  <si>
    <t>Multi-modal indicator 1: Street connectivity (total 3- and 4-way intersections per acre):</t>
  </si>
  <si>
    <t>Multi-modal indicator 2: Percent of total network centerline miles that are either off-street bike paths or streets with bike lanes:</t>
  </si>
  <si>
    <t>Project Area Bikeway Map</t>
  </si>
  <si>
    <t>Multi-modal indicator 3: Transit activity:</t>
  </si>
  <si>
    <t>&lt;insert bikeway map here&gt;</t>
  </si>
  <si>
    <t>&lt;insert transit activity map here&gt;</t>
  </si>
  <si>
    <t>Promote Economic Prosperity</t>
  </si>
  <si>
    <t>Economic Prosperity Indicator 1: Access to jobs in all sectors by mode</t>
  </si>
  <si>
    <t>Economic Prosperity Indicator 2: Total new jobs added within 0.5mi of project area by 2040</t>
  </si>
  <si>
    <t>Within 0.25mi of project</t>
  </si>
  <si>
    <t>Within community type</t>
  </si>
  <si>
    <t>Within region</t>
  </si>
  <si>
    <t>Bike lanes and paths as share of total road miles</t>
  </si>
  <si>
    <t>Intersections per acre</t>
  </si>
  <si>
    <t>*”Services” include parks, K-12 schools, higher education facilities, libraries, hospitals, other medical service facilities, grocery stores, pharmacies, clothing stores, and banks.</t>
  </si>
  <si>
    <t>Support Ag Economy</t>
  </si>
  <si>
    <t>Improve Freight Movement</t>
  </si>
  <si>
    <t>*STAA = Surface Transportation Assistance Act. Under this act, designated STAA truck routes must meet federal design guidelines to safely accommodate large trucks.</t>
  </si>
  <si>
    <t>Map of project against STAA network</t>
  </si>
  <si>
    <t>&lt;insert STAA routes in project area map&gt;</t>
  </si>
  <si>
    <t>Freight Performance Indicator 2: Share of jobs within industrial sectors</t>
  </si>
  <si>
    <t>Make a safer transportation system</t>
  </si>
  <si>
    <t>Note: Collision data only include collisions involving an injury or fatality and are from UC Berkeley’s Transportation Injury Mapping System (TIMS)</t>
  </si>
  <si>
    <t>Collision heat map of corridor</t>
  </si>
  <si>
    <t>Safety Indicator 1: Total collisions (2014-2018)</t>
  </si>
  <si>
    <t>&lt;insert collision heat map, with heat parameters scaled to zoom level?&gt;</t>
  </si>
  <si>
    <t>Safety Indicator 3: Fatalities and bike/pedestrian involvement</t>
  </si>
  <si>
    <t>project_cline_len</t>
  </si>
  <si>
    <t>Project Length (Centerline Miles)</t>
  </si>
  <si>
    <t>Maintain a state of good repair</t>
  </si>
  <si>
    <t>State of good repair indicator 1: PCI</t>
  </si>
  <si>
    <t>State of good repair indicator 2: AADT</t>
  </si>
  <si>
    <t>Promote Socioeconomic Equity</t>
  </si>
  <si>
    <t>Within 0.5mi of project location</t>
  </si>
  <si>
    <t>*EJ Categories include: &lt;insert categories here&gt;</t>
  </si>
  <si>
    <t>*Weighted based on population that lives both within 0.5mi of project segment and within an EJ area.</t>
  </si>
  <si>
    <t>Total Jobs</t>
  </si>
  <si>
    <t>Entry-level Jobs</t>
  </si>
  <si>
    <t>Ed Facilities</t>
  </si>
  <si>
    <t>Services</t>
  </si>
  <si>
    <t>30-min walk</t>
  </si>
  <si>
    <t>30-min biking</t>
  </si>
  <si>
    <t>30-min drive</t>
  </si>
  <si>
    <t>45-min transit</t>
  </si>
  <si>
    <t>15-min drive</t>
  </si>
  <si>
    <t>VMT Indicator 1: Total change in jobs and dwelling units within 0.5mi of project:</t>
  </si>
  <si>
    <t>*The land use diversity index ranges from 0 to 1 and measures an area’s ratio of households to K-12 student enrollment, park acreage, and employment in the retail, service, and food sectors. A score of 1 indicates an “ideal” ratio of households to amenities that people use on a daily basis like shopping, restaurants, schools, etc. that in turn increases the likelihood that people living in those households will either walk or bike to these destinations, or drive a shorter distance.</t>
  </si>
  <si>
    <t>Freight Performance Indicator 1: Percent of project that is on federally-recognized STAA truck route*:</t>
  </si>
  <si>
    <t>Increase Job Access</t>
  </si>
  <si>
    <t>Increase School Access</t>
  </si>
  <si>
    <r>
      <t>Transit service density near project area</t>
    </r>
    <r>
      <rPr>
        <i/>
        <sz val="8"/>
        <color theme="1"/>
        <rFont val="Calibri"/>
        <family val="2"/>
        <scheme val="minor"/>
      </rPr>
      <t> </t>
    </r>
  </si>
  <si>
    <t>Share of project length with NPMRDS data</t>
  </si>
  <si>
    <t>Project length with NPMRDS overlap</t>
  </si>
  <si>
    <t>*Travel time reliability (TTR) = 80th percentile travel time / 50th percentile travel time. Per 2017 MAP-21 performance criteria, a TTR score greater than 1.5 is considered "unreliable" for the indicated time period. A TTR of 1.00 corresponds to perfect reliability (i.e., it always takes the same amount of time to travel the project segment).</t>
  </si>
  <si>
    <t>Within 0.5mi of project</t>
  </si>
  <si>
    <t>Equity Indicator 1: Population within 0.5mi of project living in designated Environmental justice (EJ) community</t>
  </si>
  <si>
    <t>Equity Indicator 2: Share of population living in EJ community</t>
  </si>
  <si>
    <t>Equity Indicator 3: Accessibility for people in EJ communities that are near project segment*</t>
  </si>
  <si>
    <t>anyplace</t>
  </si>
  <si>
    <t>Jurisdiction</t>
  </si>
  <si>
    <t>jurisdiction</t>
  </si>
  <si>
    <t>Congestion indicator 1: Traffic congestion severity on project segment</t>
  </si>
  <si>
    <t>Congestion Ratio</t>
  </si>
  <si>
    <t>Congestion indicator 3: Total change in jobs plus dwelling units within 0.5mi of project :</t>
  </si>
  <si>
    <t>The Promote Economic Prosperity performance outcome includes three suboutcomes: job access, school access, and supporting the agricultural economy. Each of these suboutcomes has its own set of performance indicators. In your application you can choose which of these suboutcomes you want to be evaluated on. You can choose to be evaluated on one, two, or all three .</t>
  </si>
  <si>
    <t>Congested speed / Free-flow speed</t>
  </si>
  <si>
    <t>Congestion indicator 2: Travel time reliability* on project segment</t>
  </si>
  <si>
    <t>VMT Indicator 2: Land use diversity index*</t>
  </si>
  <si>
    <t>Freight Performance Indicator 3: Change in share of industrial jobs within 0.5mi of project location</t>
  </si>
  <si>
    <t>Using This Report</t>
  </si>
  <si>
    <t>For arterials, the free-flow speed is the 60th percentile speed from 8pm-6am. It is supposed to approximate uncongested travel speed while excluding signal delay (i.e., delay not caused by demand exceeding supply).
Congested speed is the average speed during the slowest four hours of a typical weekday and for most project segments is during the AM and PM peak periods.</t>
  </si>
  <si>
    <t>What this report does</t>
  </si>
  <si>
    <t>What this report does NOT do</t>
  </si>
  <si>
    <t>VMT Indicator 3: Access to services*:</t>
  </si>
  <si>
    <t xml:space="preserve">*”Services” include parks, K-12 schools, higher education facilities, libraries, hospitals, other medical service facilities, grocery stores, pharmacies, clothing stores, and banks. 
Similar to the land use diversity index, if a project has more of these types of services within a feasible bikeing distance or shorter (15min) driving distance, then people who live or work near the project segment will on average generate less VMT in order to access these services.
And in contrast to the diversity index,which shows services as a ratio of households to services, this indicator gives a better sense of the total amount of services available.
</t>
  </si>
  <si>
    <t>Economic Prosperity Indicator 3: K-12 Enrollment within 0.5mi of project location:</t>
  </si>
  <si>
    <t>Economic Prosperity Indicator 4: Education Facility (K12 schools and higher education) Access</t>
  </si>
  <si>
    <t>Economic Prosperity Indicator 5: Change in Ag acreage share within 0.5mi of project location</t>
  </si>
  <si>
    <t>Bike/ped collisions per road centerline mile</t>
  </si>
  <si>
    <t>Safety Indicator 2: Collisions per 100 million VMT</t>
  </si>
  <si>
    <t>Report generated:</t>
  </si>
  <si>
    <t>This report provides base year data from 2016-2018 and, where not observed data are not available, on base-year modeled data. It aims to provide rich, quantitative contextual information about each project to aid reviewers in deciding which projects most align with program goals.
For example, if a sponsor states that a project's goal is to reduce congestion, the report provides data on how congested the project corridor is under current conditions along with expected job and housing growth in the corridor. Such data, along with any supplemental application narrative provided by the sponsor, are provided to help reviewers decide if the project has potential to be an effective congestion reduction tool.</t>
  </si>
  <si>
    <r>
      <t xml:space="preserve">This report does not in any way model the effects that the proposed project would have if it were built. Any future-year data shown is based on SACOG's travel demand model and MTP-SCS land use forecast and does not necessarily factor in the effects of the proposed project. 
Future-year data are included to show how well the project aligns with the MTP's vision of the project area, but not to show the effects that the project itself will have. For example, the future-year population and job growth around a road capacity project answers the question "how many people is this road expected to serve in the future?", </t>
    </r>
    <r>
      <rPr>
        <b/>
        <sz val="11"/>
        <color theme="1"/>
        <rFont val="Calibri"/>
        <family val="2"/>
        <scheme val="minor"/>
      </rPr>
      <t>not</t>
    </r>
    <r>
      <rPr>
        <sz val="11"/>
        <color theme="1"/>
        <rFont val="Calibri"/>
        <family val="2"/>
        <scheme val="minor"/>
      </rPr>
      <t xml:space="preserve"> "how much growth will this road project cause?".
Similarly, for performance outcomes like safety or congestion reduction, the report tells the reviewer if there currently is a problem with congestion or safety (e.g., high collision rate), but it does not say whether the proposed project will improve the issue, e.g., it won't say whether widening a congested segment will reduce its congestion, nor will it say whether a proposed safety project will address the root cause of the safety issue.</t>
    </r>
  </si>
  <si>
    <t>*The on-project collision rate will be -1.0 if the user did not provide an average daily traffic value.</t>
  </si>
  <si>
    <t>On project segment*</t>
  </si>
  <si>
    <t>Multi-modal indicator 4: Residential Mode Split:</t>
  </si>
  <si>
    <t>NOTE - The 2040 mode split shown below is based on modeled values estimated</t>
  </si>
  <si>
    <t>for SACOG's 2020 MTP-SCS. As with all other 2040 values in this report, they do NOT factor in</t>
  </si>
  <si>
    <t>the potential effects of the project for which this report was generated.</t>
  </si>
  <si>
    <t>Safety Indicator 4: Bike + Ped Collisions per Project Centerline Mile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</si>
</sst>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_);_(* \(#,##0\);_(* &quot;-&quot;??_);_(@_)"/>
    <numFmt numFmtId="165" formatCode="0.0"/>
    <numFmt numFmtId="166" formatCode="0.000"/>
    <numFmt numFmtId="167" formatCode="#,##0.0"/>
    <numFmt numFmtId="168" formatCode="[$-409]m/d/yy\ h:mm\ AM/PM;@"/>
  </numFmts>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6"/>
      <color rgb="FF2F5496"/>
      <name val="Calibri Light"/>
      <family val="2"/>
    </font>
    <font>
      <sz val="8"/>
      <color theme="1"/>
      <name val="Calibri"/>
      <family val="2"/>
      <scheme val="minor"/>
    </font>
    <font>
      <sz val="10"/>
      <color theme="1"/>
      <name val="Calibri"/>
      <family val="2"/>
      <scheme val="minor"/>
    </font>
    <font>
      <sz val="11"/>
      <color theme="1" tint="0.34998626667073579"/>
      <name val="Calibri"/>
      <family val="2"/>
      <scheme val="minor"/>
    </font>
    <font>
      <sz val="11"/>
      <color theme="1" tint="0.34998626667073579"/>
      <name val="Symbol"/>
      <family val="1"/>
      <charset val="2"/>
    </font>
    <font>
      <sz val="13"/>
      <color rgb="FF2F5496"/>
      <name val="Calibri Light"/>
      <family val="2"/>
    </font>
    <font>
      <sz val="12"/>
      <color rgb="FF1F3763"/>
      <name val="Calibri Light"/>
      <family val="2"/>
    </font>
    <font>
      <i/>
      <sz val="11"/>
      <color theme="1"/>
      <name val="Calibri"/>
      <family val="2"/>
      <scheme val="minor"/>
    </font>
    <font>
      <i/>
      <sz val="8"/>
      <color theme="1"/>
      <name val="Calibri"/>
      <family val="2"/>
      <scheme val="minor"/>
    </font>
    <font>
      <i/>
      <sz val="11"/>
      <color indexed="8"/>
      <name val="Calibri"/>
      <family val="2"/>
      <scheme val="minor"/>
    </font>
    <font>
      <sz val="11"/>
      <name val="Calibri"/>
      <family val="2"/>
      <scheme val="minor"/>
    </font>
    <font>
      <b/>
      <sz val="11"/>
      <name val="Calibri"/>
      <family val="2"/>
      <scheme val="minor"/>
    </font>
    <font>
      <i/>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44">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1">
    <xf numFmtId="0" fontId="0" fillId="0" borderId="0" xfId="0"/>
    <xf numFmtId="9" fontId="0" fillId="0" borderId="0" xfId="2" applyFont="1"/>
    <xf numFmtId="164" fontId="0" fillId="0" borderId="0" xfId="1" applyNumberFormat="1" applyFont="1"/>
    <xf numFmtId="43" fontId="0" fillId="0" borderId="0" xfId="1" applyFont="1"/>
    <xf numFmtId="2" fontId="0" fillId="0" borderId="0" xfId="2" applyNumberFormat="1" applyFont="1"/>
    <xf numFmtId="2" fontId="0" fillId="0" borderId="0" xfId="0" applyNumberFormat="1"/>
    <xf numFmtId="2" fontId="0" fillId="0" borderId="0" xfId="1" applyNumberFormat="1" applyFont="1"/>
    <xf numFmtId="165" fontId="0" fillId="0" borderId="0" xfId="1" applyNumberFormat="1" applyFont="1"/>
    <xf numFmtId="0" fontId="19" fillId="0" borderId="0" xfId="0" applyFont="1" applyAlignment="1">
      <alignment vertical="center"/>
    </xf>
    <xf numFmtId="0" fontId="20" fillId="0" borderId="0" xfId="0" applyFont="1" applyAlignment="1">
      <alignment vertical="center"/>
    </xf>
    <xf numFmtId="0" fontId="23" fillId="0" borderId="0" xfId="0" applyFont="1" applyAlignment="1">
      <alignment horizontal="left" vertical="center" indent="5"/>
    </xf>
    <xf numFmtId="0" fontId="22" fillId="0" borderId="0" xfId="0" applyFont="1"/>
    <xf numFmtId="0" fontId="24" fillId="0" borderId="0" xfId="0" applyFont="1" applyAlignment="1">
      <alignment vertical="center"/>
    </xf>
    <xf numFmtId="0" fontId="21" fillId="0" borderId="0" xfId="0" applyFont="1" applyAlignment="1">
      <alignment vertic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0" xfId="0" applyBorder="1"/>
    <xf numFmtId="0" fontId="0" fillId="0" borderId="14" xfId="0" applyBorder="1"/>
    <xf numFmtId="0" fontId="16" fillId="0" borderId="13" xfId="0" applyFont="1" applyBorder="1"/>
    <xf numFmtId="1" fontId="0" fillId="0" borderId="0" xfId="0" applyNumberFormat="1" applyBorder="1"/>
    <xf numFmtId="1" fontId="0" fillId="0" borderId="14" xfId="0" applyNumberFormat="1" applyBorder="1"/>
    <xf numFmtId="2" fontId="0" fillId="0" borderId="0" xfId="0" applyNumberFormat="1" applyBorder="1"/>
    <xf numFmtId="2" fontId="0" fillId="0" borderId="14" xfId="0" applyNumberFormat="1" applyBorder="1"/>
    <xf numFmtId="0" fontId="0" fillId="0" borderId="15" xfId="0" applyBorder="1"/>
    <xf numFmtId="2" fontId="0" fillId="0" borderId="16" xfId="0" applyNumberFormat="1" applyBorder="1"/>
    <xf numFmtId="2" fontId="0" fillId="0" borderId="17" xfId="0" applyNumberFormat="1" applyBorder="1"/>
    <xf numFmtId="0" fontId="0" fillId="0" borderId="0" xfId="0" applyAlignment="1">
      <alignment wrapText="1"/>
    </xf>
    <xf numFmtId="0" fontId="16" fillId="0" borderId="0" xfId="0" applyFont="1" applyAlignment="1">
      <alignment vertical="center"/>
    </xf>
    <xf numFmtId="0" fontId="22" fillId="0" borderId="0" xfId="0" applyFont="1" applyAlignment="1">
      <alignment vertical="center" wrapText="1"/>
    </xf>
    <xf numFmtId="0" fontId="0" fillId="0" borderId="0" xfId="0" applyAlignment="1">
      <alignment horizontal="left"/>
    </xf>
    <xf numFmtId="3" fontId="0" fillId="0" borderId="0" xfId="1" applyNumberFormat="1" applyFont="1" applyAlignment="1">
      <alignment horizontal="left"/>
    </xf>
    <xf numFmtId="0" fontId="25" fillId="0" borderId="0" xfId="0" applyFont="1" applyAlignment="1">
      <alignment vertical="center"/>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16" fillId="0" borderId="0" xfId="0" applyFont="1" applyAlignment="1">
      <alignment vertical="center" wrapText="1"/>
    </xf>
    <xf numFmtId="2" fontId="0" fillId="0" borderId="20" xfId="1" applyNumberFormat="1" applyFont="1" applyBorder="1" applyAlignment="1">
      <alignment horizontal="center" vertical="center" wrapText="1"/>
    </xf>
    <xf numFmtId="2" fontId="0" fillId="0" borderId="0" xfId="1" applyNumberFormat="1" applyFont="1" applyBorder="1" applyAlignment="1">
      <alignment horizontal="center" vertical="center" wrapText="1"/>
    </xf>
    <xf numFmtId="166" fontId="0" fillId="0" borderId="0" xfId="1" applyNumberFormat="1" applyFont="1" applyBorder="1" applyAlignment="1">
      <alignment horizontal="center" vertical="center" wrapText="1"/>
    </xf>
    <xf numFmtId="0" fontId="0" fillId="0" borderId="0" xfId="0" applyBorder="1" applyAlignment="1">
      <alignment horizontal="center" vertical="center" wrapText="1"/>
    </xf>
    <xf numFmtId="0" fontId="26" fillId="0" borderId="0" xfId="0" applyFont="1" applyAlignment="1">
      <alignment vertical="center"/>
    </xf>
    <xf numFmtId="9" fontId="0" fillId="0" borderId="20" xfId="2" applyFont="1" applyBorder="1" applyAlignment="1">
      <alignment horizontal="center" vertical="center" wrapText="1"/>
    </xf>
    <xf numFmtId="0" fontId="0" fillId="0" borderId="22" xfId="0" applyBorder="1"/>
    <xf numFmtId="0" fontId="0" fillId="0" borderId="0" xfId="0" applyAlignment="1">
      <alignment vertical="center"/>
    </xf>
    <xf numFmtId="9" fontId="0" fillId="0" borderId="22" xfId="2" applyFont="1" applyBorder="1" applyAlignment="1">
      <alignment horizontal="left"/>
    </xf>
    <xf numFmtId="0" fontId="26" fillId="0" borderId="0" xfId="0" applyFont="1"/>
    <xf numFmtId="165" fontId="0" fillId="0" borderId="20" xfId="1" applyNumberFormat="1" applyFont="1" applyBorder="1" applyAlignment="1">
      <alignment horizontal="center" vertical="center" wrapText="1"/>
    </xf>
    <xf numFmtId="167" fontId="0" fillId="0" borderId="0" xfId="1" applyNumberFormat="1" applyFont="1" applyAlignment="1">
      <alignment horizontal="left"/>
    </xf>
    <xf numFmtId="3" fontId="0" fillId="0" borderId="22" xfId="0" applyNumberFormat="1" applyBorder="1"/>
    <xf numFmtId="9" fontId="0" fillId="0" borderId="20" xfId="0" applyNumberFormat="1" applyBorder="1" applyAlignment="1">
      <alignment horizontal="center" vertical="center" wrapText="1"/>
    </xf>
    <xf numFmtId="3" fontId="0" fillId="0" borderId="0" xfId="0" applyNumberFormat="1"/>
    <xf numFmtId="164" fontId="0" fillId="0" borderId="18" xfId="1" applyNumberFormat="1" applyFont="1" applyBorder="1"/>
    <xf numFmtId="0" fontId="0" fillId="0" borderId="18" xfId="0" applyBorder="1"/>
    <xf numFmtId="0" fontId="0" fillId="0" borderId="0" xfId="0" applyAlignment="1">
      <alignment vertical="center" wrapText="1"/>
    </xf>
    <xf numFmtId="0" fontId="26" fillId="0" borderId="0" xfId="0" applyFont="1" applyAlignment="1">
      <alignment horizontal="left"/>
    </xf>
    <xf numFmtId="168" fontId="26" fillId="0" borderId="0" xfId="0" applyNumberFormat="1" applyFont="1" applyAlignment="1">
      <alignment horizontal="left"/>
    </xf>
    <xf numFmtId="0" fontId="26" fillId="0" borderId="0" xfId="0" applyFont="1" applyAlignment="1">
      <alignment horizontal="right"/>
    </xf>
    <xf numFmtId="0" fontId="26" fillId="0" borderId="0" xfId="0" applyFont="1" applyAlignment="1">
      <alignment horizontal="right" wrapText="1"/>
    </xf>
    <xf numFmtId="0" fontId="0" fillId="0" borderId="0" xfId="0" applyFont="1" applyAlignment="1">
      <alignment horizontal="left"/>
    </xf>
    <xf numFmtId="0" fontId="0" fillId="0" borderId="13" xfId="0" applyFill="1" applyBorder="1"/>
    <xf numFmtId="2" fontId="0" fillId="0" borderId="0" xfId="0" applyNumberFormat="1" applyFill="1" applyBorder="1"/>
    <xf numFmtId="2" fontId="0" fillId="0" borderId="14" xfId="0" applyNumberFormat="1" applyFill="1" applyBorder="1"/>
    <xf numFmtId="0" fontId="0" fillId="0" borderId="13" xfId="0" applyFill="1" applyBorder="1" applyAlignment="1">
      <alignment wrapText="1"/>
    </xf>
    <xf numFmtId="9" fontId="0" fillId="0" borderId="0" xfId="2" applyFont="1" applyFill="1" applyBorder="1"/>
    <xf numFmtId="0" fontId="28" fillId="0" borderId="0" xfId="0" applyFont="1"/>
    <xf numFmtId="0" fontId="28" fillId="0" borderId="0" xfId="0" applyFont="1" applyAlignment="1">
      <alignment horizontal="right"/>
    </xf>
    <xf numFmtId="0" fontId="16" fillId="0" borderId="0" xfId="0" applyFont="1" applyAlignment="1"/>
    <xf numFmtId="0" fontId="0" fillId="0" borderId="0" xfId="0" applyAlignment="1">
      <alignment vertical="center" wrapText="1"/>
    </xf>
    <xf numFmtId="0" fontId="0" fillId="0" borderId="0" xfId="0" applyFont="1" applyAlignment="1">
      <alignment vertical="center"/>
    </xf>
    <xf numFmtId="0" fontId="0" fillId="0" borderId="0" xfId="0" applyAlignment="1">
      <alignment horizontal="center"/>
    </xf>
    <xf numFmtId="0" fontId="0" fillId="0" borderId="0" xfId="0" applyFont="1"/>
    <xf numFmtId="0" fontId="0" fillId="0" borderId="0" xfId="0" applyFont="1" applyAlignment="1">
      <alignment horizontal="center"/>
    </xf>
    <xf numFmtId="0" fontId="0" fillId="0" borderId="22" xfId="0" applyBorder="1" applyAlignment="1">
      <alignment horizontal="center"/>
    </xf>
    <xf numFmtId="0" fontId="0" fillId="0" borderId="22" xfId="0" applyFont="1" applyBorder="1" applyAlignment="1">
      <alignment vertical="center" wrapText="1"/>
    </xf>
    <xf numFmtId="0" fontId="26" fillId="0" borderId="22" xfId="0" applyFont="1" applyBorder="1" applyAlignment="1">
      <alignment horizontal="left" vertical="center" indent="2"/>
    </xf>
    <xf numFmtId="0" fontId="0" fillId="0" borderId="0" xfId="0" applyAlignment="1">
      <alignment horizontal="left" vertical="top" wrapText="1"/>
    </xf>
    <xf numFmtId="0" fontId="0" fillId="33" borderId="0" xfId="0" applyFill="1"/>
    <xf numFmtId="0" fontId="0" fillId="33" borderId="0" xfId="0" applyFill="1" applyAlignment="1">
      <alignment wrapText="1"/>
    </xf>
    <xf numFmtId="164" fontId="0" fillId="33" borderId="0" xfId="1" applyNumberFormat="1" applyFont="1" applyFill="1"/>
    <xf numFmtId="43" fontId="0" fillId="33" borderId="0" xfId="1" applyFont="1" applyFill="1"/>
    <xf numFmtId="43" fontId="0" fillId="0" borderId="0" xfId="1" applyNumberFormat="1" applyFont="1"/>
    <xf numFmtId="2" fontId="0" fillId="0" borderId="22" xfId="2" applyNumberFormat="1" applyFont="1" applyBorder="1" applyAlignment="1">
      <alignment horizontal="center"/>
    </xf>
    <xf numFmtId="0" fontId="16" fillId="0" borderId="0" xfId="0" applyFont="1"/>
    <xf numFmtId="3" fontId="0" fillId="0" borderId="18" xfId="0" applyNumberFormat="1" applyBorder="1" applyAlignment="1">
      <alignment horizontal="left"/>
    </xf>
    <xf numFmtId="0" fontId="29" fillId="0" borderId="0" xfId="0" applyFont="1" applyAlignment="1">
      <alignment vertical="center" wrapText="1"/>
    </xf>
    <xf numFmtId="0" fontId="30" fillId="0" borderId="0" xfId="0" applyFont="1" applyAlignment="1">
      <alignment vertical="center"/>
    </xf>
    <xf numFmtId="0" fontId="25" fillId="0" borderId="0" xfId="0" applyFont="1" applyBorder="1" applyAlignment="1">
      <alignment vertical="center"/>
    </xf>
    <xf numFmtId="0" fontId="16" fillId="0" borderId="0" xfId="0" applyFont="1" applyBorder="1" applyAlignment="1">
      <alignment vertical="center"/>
    </xf>
    <xf numFmtId="49" fontId="31" fillId="0" borderId="0" xfId="0" applyNumberFormat="1" applyFont="1" applyAlignment="1">
      <alignment horizontal="left" vertical="center" indent="5"/>
    </xf>
    <xf numFmtId="0" fontId="21" fillId="0" borderId="0" xfId="0" applyFont="1" applyAlignment="1">
      <alignment vertical="center" wrapText="1"/>
    </xf>
    <xf numFmtId="0" fontId="0" fillId="0" borderId="0" xfId="0" applyAlignment="1">
      <alignment vertical="center" wrapText="1"/>
    </xf>
    <xf numFmtId="0" fontId="16" fillId="0" borderId="0" xfId="0" applyFont="1" applyAlignment="1">
      <alignment horizontal="left"/>
    </xf>
    <xf numFmtId="0" fontId="18" fillId="0" borderId="0" xfId="3" applyFont="1" applyAlignment="1">
      <alignment horizontal="center" wrapText="1"/>
    </xf>
    <xf numFmtId="0" fontId="0" fillId="0" borderId="0" xfId="0" applyAlignment="1">
      <alignment wrapText="1"/>
    </xf>
    <xf numFmtId="0" fontId="0" fillId="0" borderId="0" xfId="0" applyAlignment="1">
      <alignment horizontal="left" vertical="center" wrapText="1"/>
    </xf>
    <xf numFmtId="0" fontId="21" fillId="0" borderId="0" xfId="0" applyFont="1" applyAlignment="1">
      <alignment vertical="center" wrapText="1"/>
    </xf>
    <xf numFmtId="0" fontId="16" fillId="0" borderId="0" xfId="0" applyFont="1" applyAlignment="1">
      <alignment horizontal="left" vertical="center" wrapText="1"/>
    </xf>
    <xf numFmtId="0" fontId="26" fillId="0" borderId="21" xfId="0" applyFont="1" applyBorder="1" applyAlignment="1">
      <alignment horizontal="left" wrapText="1"/>
    </xf>
    <xf numFmtId="0" fontId="0" fillId="0" borderId="0" xfId="0" applyAlignment="1">
      <alignment horizontal="left" vertical="top" wrapText="1"/>
    </xf>
    <xf numFmtId="0" fontId="0" fillId="0" borderId="0" xfId="0" applyAlignment="1">
      <alignment vertical="center" wrapText="1"/>
    </xf>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Jobs and Dwelling Units within 0.5mi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lookup_helper!$B$80</c:f>
              <c:strCache>
                <c:ptCount val="1"/>
                <c:pt idx="0">
                  <c:v>Dwelling units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AE5B-4CDB-B8C1-A06FFC3AAC86}"/>
            </c:ext>
          </c:extLst>
        </c:ser>
        <c:ser>
          <c:idx val="1"/>
          <c:order val="1"/>
          <c:tx>
            <c:strRef>
              <c:f>lookup_helper!$B$81</c:f>
              <c:strCache>
                <c:ptCount val="1"/>
                <c:pt idx="0">
                  <c:v>Jobs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0-35B7-4846-B2B6-AF6AF72A33E8}"/>
            </c:ext>
          </c:extLst>
        </c:ser>
        <c:dLbls>
          <c:showLegendKey val="0"/>
          <c:showVal val="0"/>
          <c:showCatName val="0"/>
          <c:showSerName val="0"/>
          <c:showPercent val="0"/>
          <c:showBubbleSize val="0"/>
        </c:dLbls>
        <c:gapWidth val="55"/>
        <c:overlap val="100"/>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Land Use Diversity within 1mi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lookup_helper!$D$3</c:f>
              <c:strCache>
                <c:ptCount val="1"/>
                <c:pt idx="0">
                  <c:v>2016</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(lookup_helper!$D$2,lookup_helper!$F$2,lookup_helper!$G$2)</c:f>
              <c:strCache>
                <c:ptCount val="3"/>
                <c:pt idx="0">
                  <c:v>Project</c:v>
                </c:pt>
                <c:pt idx="1">
                  <c:v>Community Type</c:v>
                </c:pt>
                <c:pt idx="2">
                  <c:v>Region</c:v>
                </c:pt>
              </c:strCache>
            </c:strRef>
          </c:cat>
          <c:val>
            <c:numRef>
              <c:f>(lookup_helper!$D$79,lookup_helper!$F$79,lookup_helper!$G$79)</c:f>
              <c:numCache>
                <c:formatCode>_(* #,##0.00_);_(* \(#,##0.00\);_(* "-"??_);_(@_)</c:formatCode>
                <c:ptCount val="3"/>
                <c:pt idx="0">
                  <c:v>0.68447077769432152</c:v>
                </c:pt>
                <c:pt idx="1">
                  <c:v>0.62622069700880123</c:v>
                </c:pt>
                <c:pt idx="2">
                  <c:v>0.99998912009623475</c:v>
                </c:pt>
              </c:numCache>
            </c:numRef>
          </c:val>
          <c:extLst>
            <c:ext xmlns:c16="http://schemas.microsoft.com/office/drawing/2014/chart" uri="{C3380CC4-5D6E-409C-BE32-E72D297353CC}">
              <c16:uniqueId val="{00000002-F163-4D78-949C-9B4AA96BEDDC}"/>
            </c:ext>
          </c:extLst>
        </c:ser>
        <c:ser>
          <c:idx val="1"/>
          <c:order val="1"/>
          <c:tx>
            <c:v>2040</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(lookup_helper!$D$2,lookup_helper!$F$2,lookup_helper!$G$2)</c:f>
              <c:strCache>
                <c:ptCount val="3"/>
                <c:pt idx="0">
                  <c:v>Project</c:v>
                </c:pt>
                <c:pt idx="1">
                  <c:v>Community Type</c:v>
                </c:pt>
                <c:pt idx="2">
                  <c:v>Region</c:v>
                </c:pt>
              </c:strCache>
            </c:strRef>
          </c:cat>
          <c:val>
            <c:numRef>
              <c:f>(lookup_helper!$E$79,lookup_helper!$H$79,lookup_helper!$I$79)</c:f>
              <c:numCache>
                <c:formatCode>_(* #,##0.00_);_(* \(#,##0.00\);_(* "-"??_);_(@_)</c:formatCode>
                <c:ptCount val="3"/>
                <c:pt idx="0">
                  <c:v>0.68192319179405259</c:v>
                </c:pt>
                <c:pt idx="1">
                  <c:v>0.65824713128427348</c:v>
                </c:pt>
                <c:pt idx="2">
                  <c:v>0.93085349575304976</c:v>
                </c:pt>
              </c:numCache>
            </c:numRef>
          </c:val>
          <c:extLst>
            <c:ext xmlns:c16="http://schemas.microsoft.com/office/drawing/2014/chart" uri="{C3380CC4-5D6E-409C-BE32-E72D297353CC}">
              <c16:uniqueId val="{00000003-F163-4D78-949C-9B4AA96BEDDC}"/>
            </c:ext>
          </c:extLst>
        </c:ser>
        <c:dLbls>
          <c:showLegendKey val="0"/>
          <c:showVal val="0"/>
          <c:showCatName val="0"/>
          <c:showSerName val="0"/>
          <c:showPercent val="0"/>
          <c:showBubbleSize val="0"/>
        </c:dLbls>
        <c:gapWidth val="150"/>
        <c:axId val="1441562384"/>
        <c:axId val="1159554272"/>
      </c:barChart>
      <c:catAx>
        <c:axId val="1441562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554272"/>
        <c:crosses val="autoZero"/>
        <c:auto val="1"/>
        <c:lblAlgn val="ctr"/>
        <c:lblOffset val="100"/>
        <c:noMultiLvlLbl val="0"/>
      </c:catAx>
      <c:valAx>
        <c:axId val="11595542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Land Use Mix Index</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562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Service Accessibility by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074817169565648"/>
          <c:y val="0.13517461787864751"/>
          <c:w val="0.80231580396512936"/>
          <c:h val="0.67025258607379956"/>
        </c:manualLayout>
      </c:layout>
      <c:barChart>
        <c:barDir val="col"/>
        <c:grouping val="clustered"/>
        <c:varyColors val="0"/>
        <c:ser>
          <c:idx val="0"/>
          <c:order val="0"/>
          <c:tx>
            <c:strRef>
              <c:f>lookup_helper!$D$2</c:f>
              <c:strCache>
                <c:ptCount val="1"/>
                <c:pt idx="0">
                  <c:v>Project</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(lookup_helper!$B$51,lookup_helper!$B$52,lookup_helper!$B$53,lookup_helper!$B$54)</c:f>
              <c:strCache>
                <c:ptCount val="4"/>
                <c:pt idx="0">
                  <c:v>Services within 30-Min Walk</c:v>
                </c:pt>
                <c:pt idx="1">
                  <c:v>Services within 30-Min Biking</c:v>
                </c:pt>
                <c:pt idx="2">
                  <c:v>Services within 15-Min Drive</c:v>
                </c:pt>
                <c:pt idx="3">
                  <c:v>Services within 45-Min Transit</c:v>
                </c:pt>
              </c:strCache>
            </c:strRef>
          </c:cat>
          <c:val>
            <c:numRef>
              <c:f>(lookup_helper!$D$51,lookup_helper!$D$52,lookup_helper!$D$53,lookup_helper!$D$54)</c:f>
              <c:numCache>
                <c:formatCode>_(* #,##0_);_(* \(#,##0\);_(* "-"??_);_(@_)</c:formatCode>
                <c:ptCount val="4"/>
                <c:pt idx="0">
                  <c:v>7.5514457831325306</c:v>
                </c:pt>
                <c:pt idx="1">
                  <c:v>19.925100401606429</c:v>
                </c:pt>
                <c:pt idx="2">
                  <c:v>238.27309236947789</c:v>
                </c:pt>
                <c:pt idx="3">
                  <c:v>51.080883534136547</c:v>
                </c:pt>
              </c:numCache>
            </c:numRef>
          </c:val>
          <c:extLst>
            <c:ext xmlns:c16="http://schemas.microsoft.com/office/drawing/2014/chart" uri="{C3380CC4-5D6E-409C-BE32-E72D297353CC}">
              <c16:uniqueId val="{00000000-09E2-4DA4-A13F-8D7437B6E42B}"/>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(lookup_helper!$B$51,lookup_helper!$B$52,lookup_helper!$B$53,lookup_helper!$B$54)</c:f>
              <c:strCache>
                <c:ptCount val="4"/>
                <c:pt idx="0">
                  <c:v>Services within 30-Min Walk</c:v>
                </c:pt>
                <c:pt idx="1">
                  <c:v>Services within 30-Min Biking</c:v>
                </c:pt>
                <c:pt idx="2">
                  <c:v>Services within 15-Min Drive</c:v>
                </c:pt>
                <c:pt idx="3">
                  <c:v>Services within 45-Min Transit</c:v>
                </c:pt>
              </c:strCache>
            </c:strRef>
          </c:cat>
          <c:val>
            <c:numRef>
              <c:f>(lookup_helper!$F$51,lookup_helper!$F$52,lookup_helper!$F$53,lookup_helper!$F$54)</c:f>
              <c:numCache>
                <c:formatCode>_(* #,##0_);_(* \(#,##0\);_(* "-"??_);_(@_)</c:formatCode>
                <c:ptCount val="4"/>
                <c:pt idx="0">
                  <c:v>9.6835892389165004</c:v>
                </c:pt>
                <c:pt idx="1">
                  <c:v>43.011998510238037</c:v>
                </c:pt>
                <c:pt idx="2">
                  <c:v>144.64461021519989</c:v>
                </c:pt>
                <c:pt idx="3">
                  <c:v>25.241365850741079</c:v>
                </c:pt>
              </c:numCache>
            </c:numRef>
          </c:val>
          <c:extLst>
            <c:ext xmlns:c16="http://schemas.microsoft.com/office/drawing/2014/chart" uri="{C3380CC4-5D6E-409C-BE32-E72D297353CC}">
              <c16:uniqueId val="{00000001-09E2-4DA4-A13F-8D7437B6E42B}"/>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(lookup_helper!$B$51,lookup_helper!$B$52,lookup_helper!$B$53,lookup_helper!$B$54)</c:f>
              <c:strCache>
                <c:ptCount val="4"/>
                <c:pt idx="0">
                  <c:v>Services within 30-Min Walk</c:v>
                </c:pt>
                <c:pt idx="1">
                  <c:v>Services within 30-Min Biking</c:v>
                </c:pt>
                <c:pt idx="2">
                  <c:v>Services within 15-Min Drive</c:v>
                </c:pt>
                <c:pt idx="3">
                  <c:v>Services within 45-Min Transit</c:v>
                </c:pt>
              </c:strCache>
            </c:strRef>
          </c:cat>
          <c:val>
            <c:numRef>
              <c:f>(lookup_helper!$G$51,lookup_helper!$G$52,lookup_helper!$G$53,lookup_helper!$G$54)</c:f>
              <c:numCache>
                <c:formatCode>_(* #,##0_);_(* \(#,##0\);_(* "-"??_);_(@_)</c:formatCode>
                <c:ptCount val="4"/>
                <c:pt idx="0">
                  <c:v>17.147198276435411</c:v>
                </c:pt>
                <c:pt idx="1">
                  <c:v>140.10012353515299</c:v>
                </c:pt>
                <c:pt idx="2">
                  <c:v>520.32769799543757</c:v>
                </c:pt>
                <c:pt idx="3">
                  <c:v>77.938922900995635</c:v>
                </c:pt>
              </c:numCache>
            </c:numRef>
          </c:val>
          <c:extLst>
            <c:ext xmlns:c16="http://schemas.microsoft.com/office/drawing/2014/chart" uri="{C3380CC4-5D6E-409C-BE32-E72D297353CC}">
              <c16:uniqueId val="{00000002-09E2-4DA4-A13F-8D7437B6E42B}"/>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Services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layout>
        <c:manualLayout>
          <c:xMode val="edge"/>
          <c:yMode val="edge"/>
          <c:x val="0.30698834616859638"/>
          <c:y val="0.93382306623436773"/>
          <c:w val="0.42030532764482548"/>
          <c:h val="6.617693376563224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Header>&amp;L=</c:oddHeader>
    </c:headerFooter>
    <c:pageMargins b="0.75" l="0.7" r="0.7" t="0.75" header="0.3" footer="0.3"/>
    <c:pageSetup orientation="portrait"/>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Free-flow vs. Congested</a:t>
            </a:r>
            <a:r>
              <a:rPr lang="en-US" baseline="0"/>
              <a:t> Speeds* (MPH)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lookup_helper!$P$8</c:f>
              <c:strCache>
                <c:ptCount val="1"/>
                <c:pt idx="0">
                  <c:v>Free-flow speed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lookup_helper!$Q$7:$R$7</c:f>
              <c:strCache>
                <c:ptCount val="2"/>
                <c:pt idx="0">
                  <c:v>EB</c:v>
                </c:pt>
                <c:pt idx="1">
                  <c:v>WB</c:v>
                </c:pt>
              </c:strCache>
            </c:strRef>
          </c:cat>
          <c:val>
            <c:numRef>
              <c:f>lookup_helper!$Q$8:$R$8</c:f>
              <c:numCache>
                <c:formatCode>0</c:formatCode>
                <c:ptCount val="2"/>
                <c:pt idx="0">
                  <c:v>63.359266107107317</c:v>
                </c:pt>
                <c:pt idx="1">
                  <c:v>66.431990942696686</c:v>
                </c:pt>
              </c:numCache>
            </c:numRef>
          </c:val>
          <c:extLst>
            <c:ext xmlns:c16="http://schemas.microsoft.com/office/drawing/2014/chart" uri="{C3380CC4-5D6E-409C-BE32-E72D297353CC}">
              <c16:uniqueId val="{00000000-892B-4BC5-8EB9-CDF8E4686D75}"/>
            </c:ext>
          </c:extLst>
        </c:ser>
        <c:ser>
          <c:idx val="1"/>
          <c:order val="1"/>
          <c:tx>
            <c:strRef>
              <c:f>lookup_helper!$P$9</c:f>
              <c:strCache>
                <c:ptCount val="1"/>
                <c:pt idx="0">
                  <c:v>Average congested speed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lookup_helper!$Q$7:$R$7</c:f>
              <c:strCache>
                <c:ptCount val="2"/>
                <c:pt idx="0">
                  <c:v>EB</c:v>
                </c:pt>
                <c:pt idx="1">
                  <c:v>WB</c:v>
                </c:pt>
              </c:strCache>
            </c:strRef>
          </c:cat>
          <c:val>
            <c:numRef>
              <c:f>lookup_helper!$Q$9:$R$9</c:f>
              <c:numCache>
                <c:formatCode>0</c:formatCode>
                <c:ptCount val="2"/>
                <c:pt idx="0">
                  <c:v>39.857150159123393</c:v>
                </c:pt>
                <c:pt idx="1">
                  <c:v>54.409268026535017</c:v>
                </c:pt>
              </c:numCache>
            </c:numRef>
          </c:val>
          <c:extLst>
            <c:ext xmlns:c16="http://schemas.microsoft.com/office/drawing/2014/chart" uri="{C3380CC4-5D6E-409C-BE32-E72D297353CC}">
              <c16:uniqueId val="{00000001-892B-4BC5-8EB9-CDF8E4686D75}"/>
            </c:ext>
          </c:extLst>
        </c:ser>
        <c:dLbls>
          <c:showLegendKey val="0"/>
          <c:showVal val="0"/>
          <c:showCatName val="0"/>
          <c:showSerName val="0"/>
          <c:showPercent val="0"/>
          <c:showBubbleSize val="0"/>
        </c:dLbls>
        <c:gapWidth val="219"/>
        <c:overlap val="-27"/>
        <c:axId val="413144992"/>
        <c:axId val="476843424"/>
      </c:barChart>
      <c:catAx>
        <c:axId val="41314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843424"/>
        <c:crosses val="autoZero"/>
        <c:auto val="1"/>
        <c:lblAlgn val="ctr"/>
        <c:lblOffset val="100"/>
        <c:noMultiLvlLbl val="0"/>
      </c:catAx>
      <c:valAx>
        <c:axId val="47684342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144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Travel Time Reliability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lookup_helper!$P$14</c:f>
              <c:strCache>
                <c:ptCount val="1"/>
                <c:pt idx="0">
                  <c:v>AM peak TT reliability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lookup_helper!$Q$14:$R$14</c:f>
              <c:numCache>
                <c:formatCode>0.00</c:formatCode>
                <c:ptCount val="2"/>
                <c:pt idx="0">
                  <c:v>1.1478152403679189</c:v>
                </c:pt>
                <c:pt idx="1">
                  <c:v>1.081819835884438</c:v>
                </c:pt>
              </c:numCache>
            </c:numRef>
          </c:val>
          <c:extLst>
            <c:ext xmlns:c16="http://schemas.microsoft.com/office/drawing/2014/chart" uri="{C3380CC4-5D6E-409C-BE32-E72D297353CC}">
              <c16:uniqueId val="{00000000-2F3E-4412-8F1B-4BE757E31B71}"/>
            </c:ext>
          </c:extLst>
        </c:ser>
        <c:ser>
          <c:idx val="2"/>
          <c:order val="1"/>
          <c:tx>
            <c:strRef>
              <c:f>lookup_helper!$P$16</c:f>
              <c:strCache>
                <c:ptCount val="1"/>
                <c:pt idx="0">
                  <c:v>PM peak TT reliability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lookup_helper!$Q$16:$R$16</c:f>
              <c:numCache>
                <c:formatCode>0.00</c:formatCode>
                <c:ptCount val="2"/>
                <c:pt idx="0">
                  <c:v>1.323087321541778</c:v>
                </c:pt>
                <c:pt idx="1">
                  <c:v>1.10910333948567</c:v>
                </c:pt>
              </c:numCache>
            </c:numRef>
          </c:val>
          <c:extLst>
            <c:ext xmlns:c16="http://schemas.microsoft.com/office/drawing/2014/chart" uri="{C3380CC4-5D6E-409C-BE32-E72D297353CC}">
              <c16:uniqueId val="{00000002-2F3E-4412-8F1B-4BE757E31B71}"/>
            </c:ext>
          </c:extLst>
        </c:ser>
        <c:ser>
          <c:idx val="1"/>
          <c:order val="2"/>
          <c:tx>
            <c:strRef>
              <c:f>lookup_helper!$P$15</c:f>
              <c:strCache>
                <c:ptCount val="1"/>
                <c:pt idx="0">
                  <c:v>Midday TT reliability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lookup_helper!$Q$15:$R$15</c:f>
              <c:numCache>
                <c:formatCode>0.00</c:formatCode>
                <c:ptCount val="2"/>
                <c:pt idx="0">
                  <c:v>1.162867114075685</c:v>
                </c:pt>
                <c:pt idx="1">
                  <c:v>1.091630634013671</c:v>
                </c:pt>
              </c:numCache>
            </c:numRef>
          </c:val>
          <c:extLst>
            <c:ext xmlns:c16="http://schemas.microsoft.com/office/drawing/2014/chart" uri="{C3380CC4-5D6E-409C-BE32-E72D297353CC}">
              <c16:uniqueId val="{00000001-2F3E-4412-8F1B-4BE757E31B71}"/>
            </c:ext>
          </c:extLst>
        </c:ser>
        <c:ser>
          <c:idx val="3"/>
          <c:order val="3"/>
          <c:tx>
            <c:strRef>
              <c:f>lookup_helper!$P$17</c:f>
              <c:strCache>
                <c:ptCount val="1"/>
                <c:pt idx="0">
                  <c:v>Weekend TT reliability</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lookup_helper!$Q$17:$R$17</c:f>
              <c:numCache>
                <c:formatCode>0.00</c:formatCode>
                <c:ptCount val="2"/>
                <c:pt idx="0">
                  <c:v>1.2010105753672351</c:v>
                </c:pt>
                <c:pt idx="1">
                  <c:v>1.0947187607200981</c:v>
                </c:pt>
              </c:numCache>
            </c:numRef>
          </c:val>
          <c:extLst>
            <c:ext xmlns:c16="http://schemas.microsoft.com/office/drawing/2014/chart" uri="{C3380CC4-5D6E-409C-BE32-E72D297353CC}">
              <c16:uniqueId val="{00000003-2F3E-4412-8F1B-4BE757E31B71}"/>
            </c:ext>
          </c:extLst>
        </c:ser>
        <c:dLbls>
          <c:showLegendKey val="0"/>
          <c:showVal val="0"/>
          <c:showCatName val="0"/>
          <c:showSerName val="0"/>
          <c:showPercent val="0"/>
          <c:showBubbleSize val="0"/>
        </c:dLbls>
        <c:gapWidth val="219"/>
        <c:overlap val="-27"/>
        <c:axId val="204223727"/>
        <c:axId val="782932191"/>
      </c:barChart>
      <c:catAx>
        <c:axId val="204223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932191"/>
        <c:crosses val="autoZero"/>
        <c:auto val="1"/>
        <c:lblAlgn val="ctr"/>
        <c:lblOffset val="100"/>
        <c:noMultiLvlLbl val="0"/>
      </c:catAx>
      <c:valAx>
        <c:axId val="782932191"/>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237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Jobs and Dwelling Units within 0.5mi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lookup_helper!$B$80</c:f>
              <c:strCache>
                <c:ptCount val="1"/>
                <c:pt idx="0">
                  <c:v>Dwelling units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219A-48EA-8286-43B18AE1050F}"/>
            </c:ext>
          </c:extLst>
        </c:ser>
        <c:ser>
          <c:idx val="1"/>
          <c:order val="1"/>
          <c:tx>
            <c:strRef>
              <c:f>lookup_helper!$B$81</c:f>
              <c:strCache>
                <c:ptCount val="1"/>
                <c:pt idx="0">
                  <c:v>Jobs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1-219A-48EA-8286-43B18AE1050F}"/>
            </c:ext>
          </c:extLst>
        </c:ser>
        <c:dLbls>
          <c:showLegendKey val="0"/>
          <c:showVal val="0"/>
          <c:showCatName val="0"/>
          <c:showSerName val="0"/>
          <c:showPercent val="0"/>
          <c:showBubbleSize val="0"/>
        </c:dLbls>
        <c:gapWidth val="55"/>
        <c:overlap val="100"/>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Footer>&amp;L*If no data appear for speed or reliability charts, it means no data were available for the project.</c:oddFooter>
    </c:headerFooter>
    <c:pageMargins b="0.75" l="0.7" r="0.7" t="0.75" header="0.3" footer="0.3"/>
    <c:pageSetup orientation="portrait"/>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Residential Mode Split within 0.5mi of Project</a:t>
            </a:r>
            <a:r>
              <a:rPr lang="en-US" baseline="0"/>
              <a:t> Location</a:t>
            </a:r>
            <a:endParaRPr lang="en-US"/>
          </a:p>
        </c:rich>
      </c:tx>
      <c:overlay val="0"/>
      <c:spPr>
        <a:noFill/>
        <a:ln>
          <a:noFill/>
          <a:prstDash val="solid"/>
        </a:ln>
      </c:spPr>
    </c:title>
    <c:autoTitleDeleted val="0"/>
    <c:plotArea>
      <c:layout/>
      <c:barChart>
        <c:barDir val="col"/>
        <c:grouping val="clustered"/>
        <c:varyColors val="0"/>
        <c:ser>
          <c:idx val="0"/>
          <c:order val="0"/>
          <c:tx>
            <c:strRef>
              <c:f>lookup_helper!$D$3</c:f>
              <c:strCache>
                <c:ptCount val="1"/>
                <c:pt idx="0">
                  <c:v>2016</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lookup_helper!$B$7:$B$11</c:f>
              <c:strCache>
                <c:ptCount val="5"/>
                <c:pt idx="0">
                  <c:v>Single-occupant vehicle trips</c:v>
                </c:pt>
                <c:pt idx="1">
                  <c:v>Carpool trips</c:v>
                </c:pt>
                <c:pt idx="2">
                  <c:v>Transit trips</c:v>
                </c:pt>
                <c:pt idx="3">
                  <c:v>Biking trips</c:v>
                </c:pt>
                <c:pt idx="4">
                  <c:v>Walking trips</c:v>
                </c:pt>
              </c:strCache>
            </c:strRef>
          </c:cat>
          <c:val>
            <c:numRef>
              <c:f>lookup_helper!$D$7:$D$11</c:f>
              <c:numCache>
                <c:formatCode>0%</c:formatCode>
                <c:ptCount val="5"/>
                <c:pt idx="0">
                  <c:v>0.34736895830143422</c:v>
                </c:pt>
                <c:pt idx="1">
                  <c:v>0.5294237737967642</c:v>
                </c:pt>
                <c:pt idx="2">
                  <c:v>9.3911090695656604E-3</c:v>
                </c:pt>
                <c:pt idx="3">
                  <c:v>1.9445720410350639E-2</c:v>
                </c:pt>
                <c:pt idx="4">
                  <c:v>7.7884958913897823E-2</c:v>
                </c:pt>
              </c:numCache>
            </c:numRef>
          </c:val>
          <c:extLst>
            <c:ext xmlns:c16="http://schemas.microsoft.com/office/drawing/2014/chart" uri="{C3380CC4-5D6E-409C-BE32-E72D297353CC}">
              <c16:uniqueId val="{00000002-C62D-49B8-9613-A3A302B5F080}"/>
            </c:ext>
          </c:extLst>
        </c:ser>
        <c:ser>
          <c:idx val="1"/>
          <c:order val="1"/>
          <c:tx>
            <c:strRef>
              <c:f>lookup_helper!$E$3</c:f>
              <c:strCache>
                <c:ptCount val="1"/>
                <c:pt idx="0">
                  <c:v>2040</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lookup_helper!$E$7:$E$11</c:f>
              <c:numCache>
                <c:formatCode>0%</c:formatCode>
                <c:ptCount val="5"/>
                <c:pt idx="0">
                  <c:v>0.36404675917126023</c:v>
                </c:pt>
                <c:pt idx="1">
                  <c:v>0.49786162326553879</c:v>
                </c:pt>
                <c:pt idx="2">
                  <c:v>1.397072799847938E-2</c:v>
                </c:pt>
                <c:pt idx="3">
                  <c:v>2.0385858201862759E-2</c:v>
                </c:pt>
                <c:pt idx="4">
                  <c:v>8.6818095419121846E-2</c:v>
                </c:pt>
              </c:numCache>
            </c:numRef>
          </c:val>
          <c:extLst>
            <c:ext xmlns:c16="http://schemas.microsoft.com/office/drawing/2014/chart" uri="{C3380CC4-5D6E-409C-BE32-E72D297353CC}">
              <c16:uniqueId val="{00000003-C62D-49B8-9613-A3A302B5F080}"/>
            </c:ext>
          </c:extLst>
        </c:ser>
        <c:dLbls>
          <c:showLegendKey val="0"/>
          <c:showVal val="0"/>
          <c:showCatName val="0"/>
          <c:showSerName val="0"/>
          <c:showPercent val="0"/>
          <c:showBubbleSize val="0"/>
        </c:dLbls>
        <c:gapWidth val="55"/>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prstDash val="solid"/>
              <a:round/>
            </a:ln>
          </c:spPr>
        </c:majorGridlines>
        <c:numFmt formatCode="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plotArea>
    <c:legend>
      <c:legendPos val="r"/>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Job Accessibility by Mode from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074817169565648"/>
          <c:y val="0.22537084398976981"/>
          <c:w val="0.80231580396512936"/>
          <c:h val="0.58005652106785899"/>
        </c:manualLayout>
      </c:layout>
      <c:barChart>
        <c:barDir val="col"/>
        <c:grouping val="clustered"/>
        <c:varyColors val="0"/>
        <c:ser>
          <c:idx val="0"/>
          <c:order val="0"/>
          <c:tx>
            <c:strRef>
              <c:f>lookup_helper!$E$2</c:f>
              <c:strCache>
                <c:ptCount val="1"/>
                <c:pt idx="0">
                  <c:v>Project</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(lookup_helper!$B$43,lookup_helper!$B$44,lookup_helper!$B$45,lookup_helper!$B$46,lookup_helper!$E$2,lookup_helper!$F$2,lookup_helper!$G$2)</c:f>
              <c:strCache>
                <c:ptCount val="7"/>
                <c:pt idx="0">
                  <c:v>Jobs within 30-Min Walk</c:v>
                </c:pt>
                <c:pt idx="1">
                  <c:v>Jobs within 30-Min Biking</c:v>
                </c:pt>
                <c:pt idx="2">
                  <c:v>Jobs within 30-Min Drive</c:v>
                </c:pt>
                <c:pt idx="3">
                  <c:v>Jobs within 45-Min Transit</c:v>
                </c:pt>
                <c:pt idx="4">
                  <c:v>Project</c:v>
                </c:pt>
                <c:pt idx="5">
                  <c:v>Community Type</c:v>
                </c:pt>
                <c:pt idx="6">
                  <c:v>Region</c:v>
                </c:pt>
              </c:strCache>
            </c:strRef>
          </c:cat>
          <c:val>
            <c:numRef>
              <c:f>(lookup_helper!$D$43,lookup_helper!$D$44,lookup_helper!$D$45,lookup_helper!$D$46)</c:f>
              <c:numCache>
                <c:formatCode>_(* #,##0_);_(* \(#,##0\);_(* "-"??_);_(@_)</c:formatCode>
                <c:ptCount val="4"/>
                <c:pt idx="0">
                  <c:v>1013.770763052209</c:v>
                </c:pt>
                <c:pt idx="1">
                  <c:v>2709.1952208835341</c:v>
                </c:pt>
                <c:pt idx="2">
                  <c:v>45512.183253012037</c:v>
                </c:pt>
                <c:pt idx="3">
                  <c:v>6491.7790361445777</c:v>
                </c:pt>
              </c:numCache>
            </c:numRef>
          </c:val>
          <c:extLst>
            <c:ext xmlns:c16="http://schemas.microsoft.com/office/drawing/2014/chart" uri="{C3380CC4-5D6E-409C-BE32-E72D297353CC}">
              <c16:uniqueId val="{00000016-4117-43AC-B556-577713FCE445}"/>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(lookup_helper!$B$43,lookup_helper!$B$44,lookup_helper!$B$45,lookup_helper!$B$46,lookup_helper!$E$2,lookup_helper!$F$2,lookup_helper!$G$2)</c:f>
              <c:strCache>
                <c:ptCount val="7"/>
                <c:pt idx="0">
                  <c:v>Jobs within 30-Min Walk</c:v>
                </c:pt>
                <c:pt idx="1">
                  <c:v>Jobs within 30-Min Biking</c:v>
                </c:pt>
                <c:pt idx="2">
                  <c:v>Jobs within 30-Min Drive</c:v>
                </c:pt>
                <c:pt idx="3">
                  <c:v>Jobs within 45-Min Transit</c:v>
                </c:pt>
                <c:pt idx="4">
                  <c:v>Project</c:v>
                </c:pt>
                <c:pt idx="5">
                  <c:v>Community Type</c:v>
                </c:pt>
                <c:pt idx="6">
                  <c:v>Region</c:v>
                </c:pt>
              </c:strCache>
            </c:strRef>
          </c:cat>
          <c:val>
            <c:numRef>
              <c:f>(lookup_helper!$F$43,lookup_helper!$F$44,lookup_helper!$F$45,lookup_helper!$F$46)</c:f>
              <c:numCache>
                <c:formatCode>_(* #,##0_);_(* \(#,##0\);_(* "-"??_);_(@_)</c:formatCode>
                <c:ptCount val="4"/>
                <c:pt idx="0">
                  <c:v>1364.000856776242</c:v>
                </c:pt>
                <c:pt idx="1">
                  <c:v>7127.5982283250496</c:v>
                </c:pt>
                <c:pt idx="2">
                  <c:v>115470.05312773889</c:v>
                </c:pt>
                <c:pt idx="3">
                  <c:v>3942.7378655082048</c:v>
                </c:pt>
              </c:numCache>
            </c:numRef>
          </c:val>
          <c:extLst>
            <c:ext xmlns:c16="http://schemas.microsoft.com/office/drawing/2014/chart" uri="{C3380CC4-5D6E-409C-BE32-E72D297353CC}">
              <c16:uniqueId val="{00000017-4117-43AC-B556-577713FCE445}"/>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(lookup_helper!$B$43,lookup_helper!$B$44,lookup_helper!$B$45,lookup_helper!$B$46,lookup_helper!$E$2,lookup_helper!$F$2,lookup_helper!$G$2)</c:f>
              <c:strCache>
                <c:ptCount val="7"/>
                <c:pt idx="0">
                  <c:v>Jobs within 30-Min Walk</c:v>
                </c:pt>
                <c:pt idx="1">
                  <c:v>Jobs within 30-Min Biking</c:v>
                </c:pt>
                <c:pt idx="2">
                  <c:v>Jobs within 30-Min Drive</c:v>
                </c:pt>
                <c:pt idx="3">
                  <c:v>Jobs within 45-Min Transit</c:v>
                </c:pt>
                <c:pt idx="4">
                  <c:v>Project</c:v>
                </c:pt>
                <c:pt idx="5">
                  <c:v>Community Type</c:v>
                </c:pt>
                <c:pt idx="6">
                  <c:v>Region</c:v>
                </c:pt>
              </c:strCache>
            </c:strRef>
          </c:cat>
          <c:val>
            <c:numRef>
              <c:f>(lookup_helper!$G$43,lookup_helper!$G$44,lookup_helper!$G$45,lookup_helper!$G$46)</c:f>
              <c:numCache>
                <c:formatCode>_(* #,##0_);_(* \(#,##0\);_(* "-"??_);_(@_)</c:formatCode>
                <c:ptCount val="4"/>
                <c:pt idx="0">
                  <c:v>3842.410877719361</c:v>
                </c:pt>
                <c:pt idx="1">
                  <c:v>37354.023709342597</c:v>
                </c:pt>
                <c:pt idx="2">
                  <c:v>475047.24569611409</c:v>
                </c:pt>
                <c:pt idx="3">
                  <c:v>22213.193547074628</c:v>
                </c:pt>
              </c:numCache>
            </c:numRef>
          </c:val>
          <c:extLst>
            <c:ext xmlns:c16="http://schemas.microsoft.com/office/drawing/2014/chart" uri="{C3380CC4-5D6E-409C-BE32-E72D297353CC}">
              <c16:uniqueId val="{00000018-4117-43AC-B556-577713FCE445}"/>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Jobs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Education Accessibility by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8273939984306091E-2"/>
          <c:y val="0.13517461787864751"/>
          <c:w val="0.88479007134417498"/>
          <c:h val="0.67025258607379956"/>
        </c:manualLayout>
      </c:layout>
      <c:barChart>
        <c:barDir val="col"/>
        <c:grouping val="clustered"/>
        <c:varyColors val="0"/>
        <c:ser>
          <c:idx val="0"/>
          <c:order val="0"/>
          <c:tx>
            <c:strRef>
              <c:f>lookup_helper!$D$2</c:f>
              <c:strCache>
                <c:ptCount val="1"/>
                <c:pt idx="0">
                  <c:v>Project</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lookup_helper!$B$47:$B$50</c:f>
              <c:strCache>
                <c:ptCount val="4"/>
                <c:pt idx="0">
                  <c:v>Edu Facilities within 30-Min Walk</c:v>
                </c:pt>
                <c:pt idx="1">
                  <c:v>Edu Facilities within 30-Min Biking</c:v>
                </c:pt>
                <c:pt idx="2">
                  <c:v>Edu Facilities within 30-Min Drive</c:v>
                </c:pt>
                <c:pt idx="3">
                  <c:v>Edu Facilities within 45-Min Transit</c:v>
                </c:pt>
              </c:strCache>
            </c:strRef>
          </c:cat>
          <c:val>
            <c:numRef>
              <c:f>lookup_helper!$D$47:$D$50</c:f>
              <c:numCache>
                <c:formatCode>_(* #,##0_);_(* \(#,##0\);_(* "-"??_);_(@_)</c:formatCode>
                <c:ptCount val="4"/>
                <c:pt idx="0">
                  <c:v>1.2211646586345379</c:v>
                </c:pt>
                <c:pt idx="1">
                  <c:v>5.2928514056224891</c:v>
                </c:pt>
                <c:pt idx="2">
                  <c:v>94.170281124498004</c:v>
                </c:pt>
                <c:pt idx="3">
                  <c:v>10.89180722891566</c:v>
                </c:pt>
              </c:numCache>
            </c:numRef>
          </c:val>
          <c:extLst>
            <c:ext xmlns:c16="http://schemas.microsoft.com/office/drawing/2014/chart" uri="{C3380CC4-5D6E-409C-BE32-E72D297353CC}">
              <c16:uniqueId val="{00000000-2D28-498E-9EE0-FF05460081AA}"/>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lookup_helper!$B$47:$B$50</c:f>
              <c:strCache>
                <c:ptCount val="4"/>
                <c:pt idx="0">
                  <c:v>Edu Facilities within 30-Min Walk</c:v>
                </c:pt>
                <c:pt idx="1">
                  <c:v>Edu Facilities within 30-Min Biking</c:v>
                </c:pt>
                <c:pt idx="2">
                  <c:v>Edu Facilities within 30-Min Drive</c:v>
                </c:pt>
                <c:pt idx="3">
                  <c:v>Edu Facilities within 45-Min Transit</c:v>
                </c:pt>
              </c:strCache>
            </c:strRef>
          </c:cat>
          <c:val>
            <c:numRef>
              <c:f>lookup_helper!$F$47:$F$50</c:f>
              <c:numCache>
                <c:formatCode>_(* #,##0_);_(* \(#,##0\);_(* "-"??_);_(@_)</c:formatCode>
                <c:ptCount val="4"/>
                <c:pt idx="0">
                  <c:v>2.8359657898456958</c:v>
                </c:pt>
                <c:pt idx="1">
                  <c:v>11.725412674938291</c:v>
                </c:pt>
                <c:pt idx="2">
                  <c:v>163.7723231043594</c:v>
                </c:pt>
                <c:pt idx="3">
                  <c:v>6.3673234849555804</c:v>
                </c:pt>
              </c:numCache>
            </c:numRef>
          </c:val>
          <c:extLst>
            <c:ext xmlns:c16="http://schemas.microsoft.com/office/drawing/2014/chart" uri="{C3380CC4-5D6E-409C-BE32-E72D297353CC}">
              <c16:uniqueId val="{00000001-2D28-498E-9EE0-FF05460081AA}"/>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lookup_helper!$B$47:$B$50</c:f>
              <c:strCache>
                <c:ptCount val="4"/>
                <c:pt idx="0">
                  <c:v>Edu Facilities within 30-Min Walk</c:v>
                </c:pt>
                <c:pt idx="1">
                  <c:v>Edu Facilities within 30-Min Biking</c:v>
                </c:pt>
                <c:pt idx="2">
                  <c:v>Edu Facilities within 30-Min Drive</c:v>
                </c:pt>
                <c:pt idx="3">
                  <c:v>Edu Facilities within 45-Min Transit</c:v>
                </c:pt>
              </c:strCache>
            </c:strRef>
          </c:cat>
          <c:val>
            <c:numRef>
              <c:f>lookup_helper!$G$47:$G$50</c:f>
              <c:numCache>
                <c:formatCode>_(* #,##0_);_(* \(#,##0\);_(* "-"??_);_(@_)</c:formatCode>
                <c:ptCount val="4"/>
                <c:pt idx="0">
                  <c:v>4.6382414187566914</c:v>
                </c:pt>
                <c:pt idx="1">
                  <c:v>38.186082797940898</c:v>
                </c:pt>
                <c:pt idx="2">
                  <c:v>492.55290133648589</c:v>
                </c:pt>
                <c:pt idx="3">
                  <c:v>19.46065842045931</c:v>
                </c:pt>
              </c:numCache>
            </c:numRef>
          </c:val>
          <c:extLst>
            <c:ext xmlns:c16="http://schemas.microsoft.com/office/drawing/2014/chart" uri="{C3380CC4-5D6E-409C-BE32-E72D297353CC}">
              <c16:uniqueId val="{00000002-2D28-498E-9EE0-FF05460081AA}"/>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Services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layout>
        <c:manualLayout>
          <c:xMode val="edge"/>
          <c:yMode val="edge"/>
          <c:x val="0.30698834616859638"/>
          <c:y val="0.93382306623436773"/>
          <c:w val="0.42030532764482548"/>
          <c:h val="6.617693376563224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Header>&amp;L=</c:oddHeader>
    </c:headerFooter>
    <c:pageMargins b="0.75" l="0.7" r="0.7" t="0.75" header="0.3" footer="0.3"/>
    <c:pageSetup orientation="portrait"/>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12411111111111112"/>
          <c:y val="3.856749311294765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lookup_helper!$B$5</c:f>
              <c:strCache>
                <c:ptCount val="1"/>
                <c:pt idx="0">
                  <c:v>Share of land that is Ag use within project area</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lookup_helper!$D$5:$E$5</c:f>
              <c:numCache>
                <c:formatCode>0%</c:formatCode>
                <c:ptCount val="2"/>
                <c:pt idx="0">
                  <c:v>0.1236248623319337</c:v>
                </c:pt>
                <c:pt idx="1">
                  <c:v>0</c:v>
                </c:pt>
              </c:numCache>
            </c:numRef>
          </c:val>
          <c:extLst>
            <c:ext xmlns:c16="http://schemas.microsoft.com/office/drawing/2014/chart" uri="{C3380CC4-5D6E-409C-BE32-E72D297353CC}">
              <c16:uniqueId val="{00000000-8390-4D02-8EE7-F8C606E9DD59}"/>
            </c:ext>
          </c:extLst>
        </c:ser>
        <c:dLbls>
          <c:showLegendKey val="0"/>
          <c:showVal val="0"/>
          <c:showCatName val="0"/>
          <c:showSerName val="0"/>
          <c:showPercent val="0"/>
          <c:showBubbleSize val="0"/>
        </c:dLbls>
        <c:gapWidth val="219"/>
        <c:overlap val="-27"/>
        <c:axId val="1814706704"/>
        <c:axId val="1818653760"/>
      </c:barChart>
      <c:catAx>
        <c:axId val="1814706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653760"/>
        <c:crosses val="autoZero"/>
        <c:auto val="1"/>
        <c:lblAlgn val="ctr"/>
        <c:lblOffset val="100"/>
        <c:noMultiLvlLbl val="0"/>
      </c:catAx>
      <c:valAx>
        <c:axId val="181865376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4706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Share of Industrial Jobs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lookup_helper!$D$59:$E$59</c:f>
              <c:numCache>
                <c:formatCode>0%</c:formatCode>
                <c:ptCount val="2"/>
                <c:pt idx="0">
                  <c:v>7.072357263990954E-2</c:v>
                </c:pt>
                <c:pt idx="1">
                  <c:v>4.853240442342649E-2</c:v>
                </c:pt>
              </c:numCache>
            </c:numRef>
          </c:val>
          <c:extLst>
            <c:ext xmlns:c16="http://schemas.microsoft.com/office/drawing/2014/chart" uri="{C3380CC4-5D6E-409C-BE32-E72D297353CC}">
              <c16:uniqueId val="{00000004-E36C-408F-93E4-698F12DD9E84}"/>
            </c:ext>
          </c:extLst>
        </c:ser>
        <c:dLbls>
          <c:showLegendKey val="0"/>
          <c:showVal val="0"/>
          <c:showCatName val="0"/>
          <c:showSerName val="0"/>
          <c:showPercent val="0"/>
          <c:showBubbleSize val="0"/>
        </c:dLbls>
        <c:gapWidth val="219"/>
        <c:overlap val="-27"/>
        <c:axId val="1814738704"/>
        <c:axId val="1818661248"/>
      </c:barChart>
      <c:catAx>
        <c:axId val="1814738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661248"/>
        <c:crosses val="autoZero"/>
        <c:auto val="1"/>
        <c:lblAlgn val="ctr"/>
        <c:lblOffset val="100"/>
        <c:noMultiLvlLbl val="0"/>
      </c:catAx>
      <c:valAx>
        <c:axId val="1818661248"/>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4738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Fatal and Bike-Ped Collisions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lookup_helper!$D$2</c:f>
              <c:strCache>
                <c:ptCount val="1"/>
                <c:pt idx="0">
                  <c:v>Project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(lookup_helper!$B$90,lookup_helper!$B$93)</c:f>
              <c:strCache>
                <c:ptCount val="2"/>
                <c:pt idx="0">
                  <c:v>Pct of collisions that are fatal</c:v>
                </c:pt>
                <c:pt idx="1">
                  <c:v>Percent of collisions with bike/ped</c:v>
                </c:pt>
              </c:strCache>
            </c:strRef>
          </c:cat>
          <c:val>
            <c:numRef>
              <c:f>(lookup_helper!$D$90,lookup_helper!$D$93)</c:f>
              <c:numCache>
                <c:formatCode>0%</c:formatCode>
                <c:ptCount val="2"/>
                <c:pt idx="0">
                  <c:v>3.5714285714285719E-2</c:v>
                </c:pt>
                <c:pt idx="1">
                  <c:v>5.3571428571428568E-2</c:v>
                </c:pt>
              </c:numCache>
            </c:numRef>
          </c:val>
          <c:extLst>
            <c:ext xmlns:c16="http://schemas.microsoft.com/office/drawing/2014/chart" uri="{C3380CC4-5D6E-409C-BE32-E72D297353CC}">
              <c16:uniqueId val="{00000010-C726-4439-A329-B1396ECCEF32}"/>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(lookup_helper!$B$90,lookup_helper!$B$93)</c:f>
              <c:strCache>
                <c:ptCount val="2"/>
                <c:pt idx="0">
                  <c:v>Pct of collisions that are fatal</c:v>
                </c:pt>
                <c:pt idx="1">
                  <c:v>Percent of collisions with bike/ped</c:v>
                </c:pt>
              </c:strCache>
            </c:strRef>
          </c:cat>
          <c:val>
            <c:numRef>
              <c:f>(lookup_helper!$F$90,lookup_helper!$F$93)</c:f>
              <c:numCache>
                <c:formatCode>0%</c:formatCode>
                <c:ptCount val="2"/>
                <c:pt idx="0">
                  <c:v>2.7369826435246991E-2</c:v>
                </c:pt>
                <c:pt idx="1">
                  <c:v>0.13484646194926569</c:v>
                </c:pt>
              </c:numCache>
            </c:numRef>
          </c:val>
          <c:extLst>
            <c:ext xmlns:c16="http://schemas.microsoft.com/office/drawing/2014/chart" uri="{C3380CC4-5D6E-409C-BE32-E72D297353CC}">
              <c16:uniqueId val="{00000011-C726-4439-A329-B1396ECCEF32}"/>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(lookup_helper!$B$90,lookup_helper!$B$93)</c:f>
              <c:strCache>
                <c:ptCount val="2"/>
                <c:pt idx="0">
                  <c:v>Pct of collisions that are fatal</c:v>
                </c:pt>
                <c:pt idx="1">
                  <c:v>Percent of collisions with bike/ped</c:v>
                </c:pt>
              </c:strCache>
            </c:strRef>
          </c:cat>
          <c:val>
            <c:numRef>
              <c:f>(lookup_helper!$G$90,lookup_helper!$G$93)</c:f>
              <c:numCache>
                <c:formatCode>0%</c:formatCode>
                <c:ptCount val="2"/>
                <c:pt idx="0">
                  <c:v>2.022900763358779E-2</c:v>
                </c:pt>
                <c:pt idx="1">
                  <c:v>0.1221919302071974</c:v>
                </c:pt>
              </c:numCache>
            </c:numRef>
          </c:val>
          <c:extLst>
            <c:ext xmlns:c16="http://schemas.microsoft.com/office/drawing/2014/chart" uri="{C3380CC4-5D6E-409C-BE32-E72D297353CC}">
              <c16:uniqueId val="{00000014-C726-4439-A329-B1396ECCEF32}"/>
            </c:ext>
          </c:extLst>
        </c:ser>
        <c:dLbls>
          <c:showLegendKey val="0"/>
          <c:showVal val="0"/>
          <c:showCatName val="0"/>
          <c:showSerName val="0"/>
          <c:showPercent val="0"/>
          <c:showBubbleSize val="0"/>
        </c:dLbls>
        <c:gapWidth val="150"/>
        <c:axId val="1577134367"/>
        <c:axId val="1541216127"/>
      </c:barChart>
      <c:catAx>
        <c:axId val="1577134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1216127"/>
        <c:crosses val="autoZero"/>
        <c:auto val="1"/>
        <c:lblAlgn val="ctr"/>
        <c:lblOffset val="100"/>
        <c:noMultiLvlLbl val="0"/>
      </c:catAx>
      <c:valAx>
        <c:axId val="1541216127"/>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7134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 Accessibility for EJ Populations Adjacent to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lookup_helper!$B$96:$B$99</c:f>
              <c:strCache>
                <c:ptCount val="4"/>
                <c:pt idx="0">
                  <c:v>30-min walk</c:v>
                </c:pt>
                <c:pt idx="1">
                  <c:v>30-min biking</c:v>
                </c:pt>
                <c:pt idx="2">
                  <c:v>30-min drive</c:v>
                </c:pt>
                <c:pt idx="3">
                  <c:v>45-min transit</c:v>
                </c:pt>
              </c:strCache>
            </c:strRef>
          </c:cat>
          <c:val>
            <c:numRef>
              <c:f>lookup_helper!$D$96:$D$99</c:f>
              <c:numCache>
                <c:formatCode>#,##0</c:formatCode>
                <c:ptCount val="4"/>
                <c:pt idx="0">
                  <c:v>1013.770763052209</c:v>
                </c:pt>
                <c:pt idx="1">
                  <c:v>2709.1952208835341</c:v>
                </c:pt>
                <c:pt idx="2">
                  <c:v>45512.183253012037</c:v>
                </c:pt>
                <c:pt idx="3">
                  <c:v>6491.7790361445777</c:v>
                </c:pt>
              </c:numCache>
            </c:numRef>
          </c:val>
          <c:extLst>
            <c:ext xmlns:c16="http://schemas.microsoft.com/office/drawing/2014/chart" uri="{C3380CC4-5D6E-409C-BE32-E72D297353CC}">
              <c16:uniqueId val="{00000000-641B-4940-965C-ABA69C009559}"/>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Education</a:t>
            </a:r>
            <a:r>
              <a:rPr lang="en-US" baseline="0"/>
              <a:t> </a:t>
            </a:r>
            <a:r>
              <a:rPr lang="en-US"/>
              <a:t>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lookup_helper!$B$104:$B$107</c:f>
              <c:strCache>
                <c:ptCount val="4"/>
                <c:pt idx="0">
                  <c:v>30-min walk</c:v>
                </c:pt>
                <c:pt idx="1">
                  <c:v>30-min biking</c:v>
                </c:pt>
                <c:pt idx="2">
                  <c:v>30-min drive</c:v>
                </c:pt>
                <c:pt idx="3">
                  <c:v>45-min transit</c:v>
                </c:pt>
              </c:strCache>
            </c:strRef>
          </c:cat>
          <c:val>
            <c:numRef>
              <c:f>lookup_helper!$D$104:$D$107</c:f>
              <c:numCache>
                <c:formatCode>#,##0</c:formatCode>
                <c:ptCount val="4"/>
                <c:pt idx="0">
                  <c:v>1.2211646586345379</c:v>
                </c:pt>
                <c:pt idx="1">
                  <c:v>5.2928514056224891</c:v>
                </c:pt>
                <c:pt idx="2">
                  <c:v>94.170281124498004</c:v>
                </c:pt>
                <c:pt idx="3">
                  <c:v>10.89180722891566</c:v>
                </c:pt>
              </c:numCache>
            </c:numRef>
          </c:val>
          <c:extLst>
            <c:ext xmlns:c16="http://schemas.microsoft.com/office/drawing/2014/chart" uri="{C3380CC4-5D6E-409C-BE32-E72D297353CC}">
              <c16:uniqueId val="{00000000-2504-43BF-A83A-22BFF19806A4}"/>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Services*</a:t>
            </a:r>
            <a:r>
              <a:rPr lang="en-US" baseline="0"/>
              <a:t> </a:t>
            </a:r>
            <a:r>
              <a:rPr lang="en-US"/>
              <a:t>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lookup_helper!$B$108:$B$111</c:f>
              <c:strCache>
                <c:ptCount val="4"/>
                <c:pt idx="0">
                  <c:v>30-min walk</c:v>
                </c:pt>
                <c:pt idx="1">
                  <c:v>30-min biking</c:v>
                </c:pt>
                <c:pt idx="2">
                  <c:v>15-min drive</c:v>
                </c:pt>
                <c:pt idx="3">
                  <c:v>45-min transit</c:v>
                </c:pt>
              </c:strCache>
            </c:strRef>
          </c:cat>
          <c:val>
            <c:numRef>
              <c:f>lookup_helper!$D$108:$D$111</c:f>
              <c:numCache>
                <c:formatCode>#,##0</c:formatCode>
                <c:ptCount val="4"/>
                <c:pt idx="0">
                  <c:v>7.5514457831325306</c:v>
                </c:pt>
                <c:pt idx="1">
                  <c:v>19.925100401606429</c:v>
                </c:pt>
                <c:pt idx="2">
                  <c:v>238.27309236947789</c:v>
                </c:pt>
                <c:pt idx="3">
                  <c:v>51.080883534136547</c:v>
                </c:pt>
              </c:numCache>
            </c:numRef>
          </c:val>
          <c:extLst>
            <c:ext xmlns:c16="http://schemas.microsoft.com/office/drawing/2014/chart" uri="{C3380CC4-5D6E-409C-BE32-E72D297353CC}">
              <c16:uniqueId val="{00000000-7364-4113-A1B5-3110B77A215F}"/>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Jobs and Dwelling Units within 0.5mi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lookup_helper!$B$80</c:f>
              <c:strCache>
                <c:ptCount val="1"/>
                <c:pt idx="0">
                  <c:v>Dwelling units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83C4-4D02-8672-A14EFE4AD4B7}"/>
            </c:ext>
          </c:extLst>
        </c:ser>
        <c:ser>
          <c:idx val="1"/>
          <c:order val="1"/>
          <c:tx>
            <c:strRef>
              <c:f>lookup_helper!$B$81</c:f>
              <c:strCache>
                <c:ptCount val="1"/>
                <c:pt idx="0">
                  <c:v>Jobs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1-83C4-4D02-8672-A14EFE4AD4B7}"/>
            </c:ext>
          </c:extLst>
        </c:ser>
        <c:dLbls>
          <c:showLegendKey val="0"/>
          <c:showVal val="0"/>
          <c:showCatName val="0"/>
          <c:showSerName val="0"/>
          <c:showPercent val="0"/>
          <c:showBubbleSize val="0"/>
        </c:dLbls>
        <c:gapWidth val="55"/>
        <c:overlap val="100"/>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0</xdr:col>
      <xdr:colOff>336550</xdr:colOff>
      <xdr:row>5</xdr:row>
      <xdr:rowOff>107950</xdr:rowOff>
    </xdr:from>
    <xdr:to>
      <xdr:col>6</xdr:col>
      <xdr:colOff>457200</xdr:colOff>
      <xdr:row>19</xdr:row>
      <xdr:rowOff>184150</xdr:rowOff>
    </xdr:to>
    <xdr:graphicFrame macro="">
      <xdr:nvGraphicFramePr>
        <xdr:cNvPr id="2" name="Chart 1">
          <a:extLst>
            <a:ext uri="{FF2B5EF4-FFF2-40B4-BE49-F238E27FC236}">
              <a16:creationId xmlns:a16="http://schemas.microsoft.com/office/drawing/2014/main" id="{343BD12B-DE6F-47F0-A746-2254B00691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323850</xdr:colOff>
      <xdr:row>23</xdr:row>
      <xdr:rowOff>123825</xdr:rowOff>
    </xdr:from>
    <xdr:to>
      <xdr:col>6</xdr:col>
      <xdr:colOff>390525</xdr:colOff>
      <xdr:row>39</xdr:row>
      <xdr:rowOff>142875</xdr:rowOff>
    </xdr:to>
    <xdr:graphicFrame macro="">
      <xdr:nvGraphicFramePr>
        <xdr:cNvPr id="3" name="Chart 2">
          <a:extLst>
            <a:ext uri="{FF2B5EF4-FFF2-40B4-BE49-F238E27FC236}">
              <a16:creationId xmlns:a16="http://schemas.microsoft.com/office/drawing/2014/main" id="{A537D093-D18C-43CF-B421-A427C24DE4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161925</xdr:colOff>
      <xdr:row>47</xdr:row>
      <xdr:rowOff>180975</xdr:rowOff>
    </xdr:from>
    <xdr:to>
      <xdr:col>6</xdr:col>
      <xdr:colOff>414338</xdr:colOff>
      <xdr:row>63</xdr:row>
      <xdr:rowOff>104775</xdr:rowOff>
    </xdr:to>
    <xdr:graphicFrame macro="">
      <xdr:nvGraphicFramePr>
        <xdr:cNvPr id="4" name="Chart 3">
          <a:extLst>
            <a:ext uri="{FF2B5EF4-FFF2-40B4-BE49-F238E27FC236}">
              <a16:creationId xmlns:a16="http://schemas.microsoft.com/office/drawing/2014/main" id="{A6CE9B93-48BE-4AFF-8C42-F54269144B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104775</xdr:colOff>
      <xdr:row>5</xdr:row>
      <xdr:rowOff>157162</xdr:rowOff>
    </xdr:from>
    <xdr:to>
      <xdr:col>6</xdr:col>
      <xdr:colOff>508000</xdr:colOff>
      <xdr:row>20</xdr:row>
      <xdr:rowOff>42862</xdr:rowOff>
    </xdr:to>
    <xdr:graphicFrame macro="">
      <xdr:nvGraphicFramePr>
        <xdr:cNvPr id="2" name="Chart 1">
          <a:extLst>
            <a:ext uri="{FF2B5EF4-FFF2-40B4-BE49-F238E27FC236}">
              <a16:creationId xmlns:a16="http://schemas.microsoft.com/office/drawing/2014/main" id="{6176CED4-3ECC-4946-824D-6589E3699B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123825</xdr:colOff>
      <xdr:row>43</xdr:row>
      <xdr:rowOff>76200</xdr:rowOff>
    </xdr:from>
    <xdr:to>
      <xdr:col>7</xdr:col>
      <xdr:colOff>195263</xdr:colOff>
      <xdr:row>59</xdr:row>
      <xdr:rowOff>28576</xdr:rowOff>
    </xdr:to>
    <xdr:graphicFrame macro="">
      <xdr:nvGraphicFramePr>
        <xdr:cNvPr id="3" name="Chart 2">
          <a:extLst>
            <a:ext uri="{FF2B5EF4-FFF2-40B4-BE49-F238E27FC236}">
              <a16:creationId xmlns:a16="http://schemas.microsoft.com/office/drawing/2014/main" id="{72567247-044F-406D-BA36-23DF279077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85724</xdr:colOff>
      <xdr:row>64</xdr:row>
      <xdr:rowOff>47624</xdr:rowOff>
    </xdr:from>
    <xdr:to>
      <xdr:col>7</xdr:col>
      <xdr:colOff>161924</xdr:colOff>
      <xdr:row>80</xdr:row>
      <xdr:rowOff>190499</xdr:rowOff>
    </xdr:to>
    <xdr:graphicFrame macro="">
      <xdr:nvGraphicFramePr>
        <xdr:cNvPr id="4" name="Chart 3">
          <a:extLst>
            <a:ext uri="{FF2B5EF4-FFF2-40B4-BE49-F238E27FC236}">
              <a16:creationId xmlns:a16="http://schemas.microsoft.com/office/drawing/2014/main" id="{A76D8086-4F7B-4D28-AAA6-09D8147F70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19050</xdr:colOff>
      <xdr:row>99</xdr:row>
      <xdr:rowOff>0</xdr:rowOff>
    </xdr:from>
    <xdr:to>
      <xdr:col>7</xdr:col>
      <xdr:colOff>38100</xdr:colOff>
      <xdr:row>114</xdr:row>
      <xdr:rowOff>82550</xdr:rowOff>
    </xdr:to>
    <xdr:graphicFrame macro="">
      <xdr:nvGraphicFramePr>
        <xdr:cNvPr id="2" name="Chart 1">
          <a:extLst>
            <a:ext uri="{FF2B5EF4-FFF2-40B4-BE49-F238E27FC236}">
              <a16:creationId xmlns:a16="http://schemas.microsoft.com/office/drawing/2014/main" id="{20D56D8E-7A9C-4950-9976-B43B284F06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61911</xdr:colOff>
      <xdr:row>11</xdr:row>
      <xdr:rowOff>57149</xdr:rowOff>
    </xdr:from>
    <xdr:to>
      <xdr:col>7</xdr:col>
      <xdr:colOff>1000125</xdr:colOff>
      <xdr:row>29</xdr:row>
      <xdr:rowOff>9524</xdr:rowOff>
    </xdr:to>
    <xdr:graphicFrame macro="">
      <xdr:nvGraphicFramePr>
        <xdr:cNvPr id="2" name="Chart 1">
          <a:extLst>
            <a:ext uri="{FF2B5EF4-FFF2-40B4-BE49-F238E27FC236}">
              <a16:creationId xmlns:a16="http://schemas.microsoft.com/office/drawing/2014/main" id="{9380BACB-5C08-4A11-B1EB-FB14AAE949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133350</xdr:colOff>
      <xdr:row>50</xdr:row>
      <xdr:rowOff>123825</xdr:rowOff>
    </xdr:from>
    <xdr:to>
      <xdr:col>7</xdr:col>
      <xdr:colOff>1076325</xdr:colOff>
      <xdr:row>64</xdr:row>
      <xdr:rowOff>38100</xdr:rowOff>
    </xdr:to>
    <xdr:graphicFrame macro="">
      <xdr:nvGraphicFramePr>
        <xdr:cNvPr id="6" name="Chart 5">
          <a:extLst>
            <a:ext uri="{FF2B5EF4-FFF2-40B4-BE49-F238E27FC236}">
              <a16:creationId xmlns:a16="http://schemas.microsoft.com/office/drawing/2014/main" id="{B8E35834-2BA2-4D7A-BF50-6E7914C6A1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180975</xdr:colOff>
      <xdr:row>70</xdr:row>
      <xdr:rowOff>66675</xdr:rowOff>
    </xdr:from>
    <xdr:to>
      <xdr:col>7</xdr:col>
      <xdr:colOff>152400</xdr:colOff>
      <xdr:row>82</xdr:row>
      <xdr:rowOff>85725</xdr:rowOff>
    </xdr:to>
    <xdr:graphicFrame macro="">
      <xdr:nvGraphicFramePr>
        <xdr:cNvPr id="7" name="Chart 6">
          <a:extLst>
            <a:ext uri="{FF2B5EF4-FFF2-40B4-BE49-F238E27FC236}">
              <a16:creationId xmlns:a16="http://schemas.microsoft.com/office/drawing/2014/main" id="{7C3DBF91-775F-4758-8D58-B7242F1390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185737</xdr:colOff>
      <xdr:row>50</xdr:row>
      <xdr:rowOff>152401</xdr:rowOff>
    </xdr:from>
    <xdr:to>
      <xdr:col>5</xdr:col>
      <xdr:colOff>528637</xdr:colOff>
      <xdr:row>64</xdr:row>
      <xdr:rowOff>9525</xdr:rowOff>
    </xdr:to>
    <xdr:graphicFrame macro="">
      <xdr:nvGraphicFramePr>
        <xdr:cNvPr id="2" name="Chart 1">
          <a:extLst>
            <a:ext uri="{FF2B5EF4-FFF2-40B4-BE49-F238E27FC236}">
              <a16:creationId xmlns:a16="http://schemas.microsoft.com/office/drawing/2014/main" id="{CC49722F-70FD-4B30-9971-4EC1689D73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152399</xdr:colOff>
      <xdr:row>48</xdr:row>
      <xdr:rowOff>76200</xdr:rowOff>
    </xdr:from>
    <xdr:to>
      <xdr:col>6</xdr:col>
      <xdr:colOff>314324</xdr:colOff>
      <xdr:row>65</xdr:row>
      <xdr:rowOff>152400</xdr:rowOff>
    </xdr:to>
    <xdr:graphicFrame macro="">
      <xdr:nvGraphicFramePr>
        <xdr:cNvPr id="2" name="Chart 1">
          <a:extLst>
            <a:ext uri="{FF2B5EF4-FFF2-40B4-BE49-F238E27FC236}">
              <a16:creationId xmlns:a16="http://schemas.microsoft.com/office/drawing/2014/main" id="{FD1B8924-6547-499F-8539-3023BC7420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23811</xdr:colOff>
      <xdr:row>17</xdr:row>
      <xdr:rowOff>52386</xdr:rowOff>
    </xdr:from>
    <xdr:to>
      <xdr:col>6</xdr:col>
      <xdr:colOff>152400</xdr:colOff>
      <xdr:row>32</xdr:row>
      <xdr:rowOff>66675</xdr:rowOff>
    </xdr:to>
    <xdr:graphicFrame macro="">
      <xdr:nvGraphicFramePr>
        <xdr:cNvPr id="2" name="Chart 1">
          <a:extLst>
            <a:ext uri="{FF2B5EF4-FFF2-40B4-BE49-F238E27FC236}">
              <a16:creationId xmlns:a16="http://schemas.microsoft.com/office/drawing/2014/main" id="{27D7BFCF-4808-4B79-824B-AECE275EB8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57147</xdr:colOff>
      <xdr:row>45</xdr:row>
      <xdr:rowOff>0</xdr:rowOff>
    </xdr:from>
    <xdr:to>
      <xdr:col>4</xdr:col>
      <xdr:colOff>685797</xdr:colOff>
      <xdr:row>56</xdr:row>
      <xdr:rowOff>171450</xdr:rowOff>
    </xdr:to>
    <xdr:graphicFrame macro="">
      <xdr:nvGraphicFramePr>
        <xdr:cNvPr id="3" name="Chart 2">
          <a:extLst>
            <a:ext uri="{FF2B5EF4-FFF2-40B4-BE49-F238E27FC236}">
              <a16:creationId xmlns:a16="http://schemas.microsoft.com/office/drawing/2014/main" id="{CE7C6310-FF69-48ED-8FB3-9C3FB62735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61910</xdr:colOff>
      <xdr:row>59</xdr:row>
      <xdr:rowOff>4764</xdr:rowOff>
    </xdr:from>
    <xdr:to>
      <xdr:col>5</xdr:col>
      <xdr:colOff>33335</xdr:colOff>
      <xdr:row>70</xdr:row>
      <xdr:rowOff>90488</xdr:rowOff>
    </xdr:to>
    <xdr:graphicFrame macro="">
      <xdr:nvGraphicFramePr>
        <xdr:cNvPr id="4" name="Chart 3">
          <a:extLst>
            <a:ext uri="{FF2B5EF4-FFF2-40B4-BE49-F238E27FC236}">
              <a16:creationId xmlns:a16="http://schemas.microsoft.com/office/drawing/2014/main" id="{7BF5CDCC-92C6-41BA-A992-E07E1CE5B3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12</xdr:col>
      <xdr:colOff>190500</xdr:colOff>
      <xdr:row>23</xdr:row>
      <xdr:rowOff>171450</xdr:rowOff>
    </xdr:from>
    <xdr:to>
      <xdr:col>17</xdr:col>
      <xdr:colOff>53975</xdr:colOff>
      <xdr:row>38</xdr:row>
      <xdr:rowOff>57150</xdr:rowOff>
    </xdr:to>
    <xdr:graphicFrame macro="">
      <xdr:nvGraphicFramePr>
        <xdr:cNvPr id="2" name="Chart 1">
          <a:extLst>
            <a:ext uri="{FF2B5EF4-FFF2-40B4-BE49-F238E27FC236}">
              <a16:creationId xmlns:a16="http://schemas.microsoft.com/office/drawing/2014/main" id="{3D984AF2-5EEA-4351-BA05-7DC493C2A9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C8CB5-C6A7-44CA-A479-35B28693DBAA}">
  <sheetPr codeName="Sheet3"/>
  <dimension ref="A2:I46"/>
  <sheetViews>
    <sheetView view="pageLayout" zoomScaleNormal="100" workbookViewId="0"/>
  </sheetViews>
  <sheetFormatPr defaultRowHeight="15" x14ac:dyDescent="0.25"/>
  <cols>
    <col min="1" max="1" width="18.42578125" customWidth="1"/>
    <col min="5" max="5" width="10.5703125" bestFit="1" customWidth="1"/>
    <col min="7" max="7" width="6.42578125" customWidth="1"/>
    <col min="8" max="8" width="6" customWidth="1"/>
  </cols>
  <sheetData>
    <row r="2" spans="1:9" x14ac:dyDescent="0.25">
      <c r="A2" s="93" t="str">
        <f>"Project Performance Assessment Report: "&amp;import!$B$2</f>
        <v>Project Performance Assessment Report: test_project_YubaCity</v>
      </c>
      <c r="B2" s="93"/>
      <c r="C2" s="93"/>
      <c r="D2" s="93"/>
      <c r="E2" s="93"/>
      <c r="F2" s="93"/>
      <c r="G2" s="93"/>
      <c r="H2" s="93"/>
      <c r="I2" s="93"/>
    </row>
    <row r="3" spans="1:9" x14ac:dyDescent="0.25">
      <c r="A3" s="93"/>
      <c r="B3" s="93"/>
      <c r="C3" s="93"/>
      <c r="D3" s="93"/>
      <c r="E3" s="93"/>
      <c r="F3" s="93"/>
      <c r="G3" s="93"/>
      <c r="H3" s="93"/>
      <c r="I3" s="93"/>
    </row>
    <row r="4" spans="1:9" x14ac:dyDescent="0.25">
      <c r="A4" s="93"/>
      <c r="B4" s="93"/>
      <c r="C4" s="93"/>
      <c r="D4" s="93"/>
      <c r="E4" s="93"/>
      <c r="F4" s="93"/>
      <c r="G4" s="93"/>
      <c r="H4" s="93"/>
      <c r="I4" s="93"/>
    </row>
    <row r="6" spans="1:9" x14ac:dyDescent="0.25">
      <c r="A6" t="s">
        <v>123</v>
      </c>
    </row>
    <row r="30" spans="1:5" ht="21" x14ac:dyDescent="0.25">
      <c r="A30" s="8" t="s">
        <v>124</v>
      </c>
    </row>
    <row r="31" spans="1:5" x14ac:dyDescent="0.25">
      <c r="A31" s="92" t="s">
        <v>129</v>
      </c>
      <c r="B31" s="92"/>
      <c r="C31" s="92"/>
      <c r="D31" s="92"/>
      <c r="E31" s="31" t="str">
        <f>VLOOKUP(A31,lookup_helper!$B$112:$D$119,3,FALSE)</f>
        <v>test_project_YubaCity</v>
      </c>
    </row>
    <row r="32" spans="1:5" x14ac:dyDescent="0.25">
      <c r="A32" s="67" t="s">
        <v>283</v>
      </c>
      <c r="B32" s="67"/>
      <c r="C32" s="67"/>
      <c r="D32" s="67"/>
      <c r="E32" s="31" t="str">
        <f>VLOOKUP(A32,lookup_helper!$B$112:$D$119,3,FALSE)</f>
        <v>anyplace</v>
      </c>
    </row>
    <row r="33" spans="1:9" x14ac:dyDescent="0.25">
      <c r="A33" s="92" t="s">
        <v>130</v>
      </c>
      <c r="B33" s="92"/>
      <c r="C33" s="92"/>
      <c r="D33" s="92"/>
      <c r="E33" s="31" t="str">
        <f>VLOOKUP(A33,lookup_helper!$B$112:$D$119,3,FALSE)</f>
        <v>Freeway</v>
      </c>
    </row>
    <row r="34" spans="1:9" x14ac:dyDescent="0.25">
      <c r="A34" s="92" t="s">
        <v>131</v>
      </c>
      <c r="B34" s="92"/>
      <c r="C34" s="92"/>
      <c r="D34" s="92"/>
      <c r="E34" s="32">
        <f>VLOOKUP(A34,lookup_helper!$B$112:$D$119,3,FALSE)</f>
        <v>60000</v>
      </c>
    </row>
    <row r="35" spans="1:9" x14ac:dyDescent="0.25">
      <c r="A35" s="92" t="s">
        <v>132</v>
      </c>
      <c r="B35" s="92"/>
      <c r="C35" s="92"/>
      <c r="D35" s="92"/>
      <c r="E35" s="32">
        <f>VLOOKUP(A35,lookup_helper!$B$112:$D$119,3,FALSE)</f>
        <v>60</v>
      </c>
    </row>
    <row r="36" spans="1:9" x14ac:dyDescent="0.25">
      <c r="A36" s="92" t="s">
        <v>133</v>
      </c>
      <c r="B36" s="92"/>
      <c r="C36" s="92"/>
      <c r="D36" s="92"/>
      <c r="E36" s="32">
        <f>VLOOKUP(A36,lookup_helper!$B$112:$D$119,3,FALSE)</f>
        <v>65</v>
      </c>
    </row>
    <row r="37" spans="1:9" x14ac:dyDescent="0.25">
      <c r="A37" s="92" t="s">
        <v>252</v>
      </c>
      <c r="B37" s="92"/>
      <c r="C37" s="92"/>
      <c r="D37" s="92"/>
      <c r="E37" s="48">
        <f>VLOOKUP(A37,lookup_helper!$B$112:$D$119,3,FALSE)</f>
        <v>1.41</v>
      </c>
      <c r="F37" s="30"/>
      <c r="G37" s="30"/>
      <c r="H37" s="30"/>
      <c r="I37" s="30"/>
    </row>
    <row r="38" spans="1:9" x14ac:dyDescent="0.25">
      <c r="A38" s="92" t="s">
        <v>134</v>
      </c>
      <c r="B38" s="92"/>
      <c r="C38" s="92"/>
      <c r="D38" s="92"/>
      <c r="E38" s="31" t="str">
        <f>VLOOKUP(A38,lookup_helper!$B$112:$D$119,3,FALSE)</f>
        <v>Small-Town Established Communities</v>
      </c>
      <c r="F38" s="11"/>
      <c r="G38" s="11"/>
      <c r="H38" s="11"/>
      <c r="I38" s="11"/>
    </row>
    <row r="39" spans="1:9" x14ac:dyDescent="0.25">
      <c r="A39" s="10"/>
      <c r="B39" s="11"/>
      <c r="C39" s="11"/>
      <c r="D39" s="11"/>
      <c r="E39" s="11"/>
      <c r="F39" s="11"/>
      <c r="G39" s="11"/>
      <c r="H39" s="11"/>
      <c r="I39" s="11"/>
    </row>
    <row r="40" spans="1:9" x14ac:dyDescent="0.25">
      <c r="A40" s="10"/>
      <c r="B40" s="11"/>
      <c r="C40" s="11"/>
      <c r="D40" s="11"/>
      <c r="E40" s="11"/>
      <c r="F40" s="11"/>
      <c r="G40" s="11"/>
      <c r="H40" s="11"/>
      <c r="I40" s="11"/>
    </row>
    <row r="41" spans="1:9" x14ac:dyDescent="0.25">
      <c r="A41" s="10"/>
      <c r="B41" s="11"/>
      <c r="C41" s="11"/>
      <c r="D41" s="11"/>
      <c r="E41" s="11"/>
      <c r="F41" s="11"/>
      <c r="G41" s="11"/>
      <c r="H41" s="11"/>
      <c r="I41" s="11"/>
    </row>
    <row r="42" spans="1:9" x14ac:dyDescent="0.25">
      <c r="A42" s="10"/>
      <c r="B42" s="11"/>
      <c r="C42" s="11"/>
      <c r="D42" s="11"/>
      <c r="E42" s="11"/>
      <c r="F42" s="11"/>
      <c r="G42" s="11"/>
      <c r="H42" s="11"/>
      <c r="I42" s="11"/>
    </row>
    <row r="43" spans="1:9" x14ac:dyDescent="0.25">
      <c r="A43" s="55" t="s">
        <v>304</v>
      </c>
      <c r="B43" s="11"/>
      <c r="C43" s="11"/>
      <c r="D43" s="11"/>
      <c r="E43" s="11"/>
      <c r="F43" s="11"/>
      <c r="G43" s="11"/>
      <c r="H43" s="11"/>
      <c r="I43" s="11"/>
    </row>
    <row r="44" spans="1:9" x14ac:dyDescent="0.25">
      <c r="A44" s="89"/>
      <c r="B44" s="11"/>
      <c r="C44" s="11"/>
      <c r="D44" s="11"/>
      <c r="E44" s="11"/>
      <c r="F44" s="11"/>
      <c r="G44" s="11"/>
      <c r="H44" s="11"/>
      <c r="I44" s="11"/>
    </row>
    <row r="45" spans="1:9" x14ac:dyDescent="0.25">
      <c r="A45" s="10"/>
      <c r="B45" s="11"/>
      <c r="C45" s="11"/>
      <c r="D45" s="11"/>
      <c r="E45" s="11"/>
      <c r="F45" s="11"/>
      <c r="G45" s="11"/>
      <c r="H45" s="11"/>
      <c r="I45" s="11"/>
    </row>
    <row r="46" spans="1:9" x14ac:dyDescent="0.25">
      <c r="A46" s="9"/>
    </row>
  </sheetData>
  <mergeCells count="8">
    <mergeCell ref="A36:D36"/>
    <mergeCell ref="A38:D38"/>
    <mergeCell ref="A2:I4"/>
    <mergeCell ref="A31:D31"/>
    <mergeCell ref="A33:D33"/>
    <mergeCell ref="A34:D34"/>
    <mergeCell ref="A35:D35"/>
    <mergeCell ref="A37:D3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A291B-9166-4BF1-AFAC-A16B7ED384D4}">
  <dimension ref="A3:I42"/>
  <sheetViews>
    <sheetView view="pageLayout" zoomScaleNormal="100" workbookViewId="0">
      <selection activeCell="A11" sqref="A11"/>
    </sheetView>
  </sheetViews>
  <sheetFormatPr defaultRowHeight="15" x14ac:dyDescent="0.25"/>
  <cols>
    <col min="1" max="1" width="18.42578125" customWidth="1"/>
    <col min="5" max="5" width="10.5703125" bestFit="1" customWidth="1"/>
    <col min="7" max="7" width="6.42578125" customWidth="1"/>
    <col min="8" max="8" width="6" customWidth="1"/>
  </cols>
  <sheetData>
    <row r="3" spans="1:9" ht="21" x14ac:dyDescent="0.25">
      <c r="A3" s="8" t="s">
        <v>293</v>
      </c>
    </row>
    <row r="4" spans="1:9" x14ac:dyDescent="0.25">
      <c r="B4" s="85"/>
      <c r="C4" s="85"/>
      <c r="D4" s="85"/>
      <c r="E4" s="85"/>
      <c r="F4" s="85"/>
      <c r="G4" s="85"/>
      <c r="H4" s="85"/>
      <c r="I4" s="85"/>
    </row>
    <row r="5" spans="1:9" x14ac:dyDescent="0.25">
      <c r="A5" s="86" t="s">
        <v>295</v>
      </c>
    </row>
    <row r="6" spans="1:9" ht="159" customHeight="1" x14ac:dyDescent="0.25">
      <c r="A6" s="94" t="s">
        <v>305</v>
      </c>
      <c r="B6" s="94"/>
      <c r="C6" s="94"/>
      <c r="D6" s="94"/>
      <c r="E6" s="94"/>
      <c r="F6" s="94"/>
      <c r="G6" s="94"/>
      <c r="H6" s="94"/>
      <c r="I6" s="94"/>
    </row>
    <row r="9" spans="1:9" x14ac:dyDescent="0.25">
      <c r="A9" s="86" t="s">
        <v>296</v>
      </c>
    </row>
    <row r="10" spans="1:9" ht="223.5" customHeight="1" x14ac:dyDescent="0.25">
      <c r="A10" s="94" t="s">
        <v>306</v>
      </c>
      <c r="B10" s="94"/>
      <c r="C10" s="94"/>
      <c r="D10" s="94"/>
      <c r="E10" s="94"/>
      <c r="F10" s="94"/>
      <c r="G10" s="94"/>
      <c r="H10" s="94"/>
      <c r="I10" s="94"/>
    </row>
    <row r="28" spans="1:5" x14ac:dyDescent="0.25">
      <c r="A28" s="67"/>
      <c r="B28" s="67"/>
      <c r="C28" s="67"/>
      <c r="D28" s="67"/>
      <c r="E28" s="31"/>
    </row>
    <row r="29" spans="1:5" x14ac:dyDescent="0.25">
      <c r="A29" s="83"/>
      <c r="E29" s="31"/>
    </row>
    <row r="30" spans="1:5" x14ac:dyDescent="0.25">
      <c r="A30" s="67"/>
      <c r="B30" s="67"/>
      <c r="C30" s="67"/>
      <c r="D30" s="67"/>
      <c r="E30" s="31"/>
    </row>
    <row r="31" spans="1:5" x14ac:dyDescent="0.25">
      <c r="A31" s="67"/>
      <c r="B31" s="67"/>
      <c r="C31" s="67"/>
      <c r="D31" s="67"/>
      <c r="E31" s="31"/>
    </row>
    <row r="32" spans="1:5" x14ac:dyDescent="0.25">
      <c r="A32" s="67"/>
      <c r="B32" s="67"/>
      <c r="C32" s="67"/>
      <c r="D32" s="67"/>
      <c r="E32" s="32"/>
    </row>
    <row r="33" spans="1:9" x14ac:dyDescent="0.25">
      <c r="A33" s="67"/>
      <c r="B33" s="67"/>
      <c r="C33" s="67"/>
      <c r="D33" s="67"/>
      <c r="E33" s="48"/>
      <c r="F33" s="30"/>
      <c r="G33" s="30"/>
      <c r="H33" s="30"/>
      <c r="I33" s="30"/>
    </row>
    <row r="34" spans="1:9" x14ac:dyDescent="0.25">
      <c r="F34" s="11"/>
      <c r="G34" s="11"/>
      <c r="H34" s="11"/>
      <c r="I34" s="11"/>
    </row>
    <row r="35" spans="1:9" x14ac:dyDescent="0.25">
      <c r="A35" s="10"/>
      <c r="B35" s="11"/>
      <c r="C35" s="11"/>
      <c r="D35" s="11"/>
      <c r="E35" s="11"/>
      <c r="F35" s="11"/>
      <c r="G35" s="11"/>
      <c r="H35" s="11"/>
      <c r="I35" s="11"/>
    </row>
    <row r="36" spans="1:9" x14ac:dyDescent="0.25">
      <c r="A36" s="10"/>
      <c r="B36" s="11"/>
      <c r="C36" s="11"/>
      <c r="D36" s="11"/>
      <c r="E36" s="11"/>
      <c r="F36" s="11"/>
      <c r="G36" s="11"/>
      <c r="H36" s="11"/>
      <c r="I36" s="11"/>
    </row>
    <row r="37" spans="1:9" x14ac:dyDescent="0.25">
      <c r="A37" s="10"/>
      <c r="B37" s="11"/>
      <c r="C37" s="11"/>
      <c r="D37" s="11"/>
      <c r="E37" s="11"/>
      <c r="F37" s="11"/>
      <c r="G37" s="11"/>
      <c r="H37" s="11"/>
      <c r="I37" s="11"/>
    </row>
    <row r="38" spans="1:9" x14ac:dyDescent="0.25">
      <c r="A38" s="10"/>
      <c r="B38" s="11"/>
      <c r="C38" s="11"/>
      <c r="D38" s="11"/>
      <c r="E38" s="11"/>
      <c r="F38" s="11"/>
      <c r="G38" s="11"/>
      <c r="H38" s="11"/>
      <c r="I38" s="11"/>
    </row>
    <row r="39" spans="1:9" x14ac:dyDescent="0.25">
      <c r="A39" s="55"/>
      <c r="B39" s="11"/>
      <c r="C39" s="11"/>
      <c r="D39" s="11"/>
      <c r="E39" s="11"/>
      <c r="F39" s="11"/>
      <c r="G39" s="11"/>
      <c r="H39" s="11"/>
      <c r="I39" s="11"/>
    </row>
    <row r="40" spans="1:9" x14ac:dyDescent="0.25">
      <c r="A40" s="56"/>
      <c r="B40" s="11"/>
      <c r="C40" s="11"/>
      <c r="D40" s="11"/>
      <c r="E40" s="11"/>
      <c r="F40" s="11"/>
      <c r="G40" s="11"/>
      <c r="H40" s="11"/>
      <c r="I40" s="11"/>
    </row>
    <row r="41" spans="1:9" x14ac:dyDescent="0.25">
      <c r="A41" s="10"/>
      <c r="B41" s="11"/>
      <c r="C41" s="11"/>
      <c r="D41" s="11"/>
      <c r="E41" s="11"/>
      <c r="F41" s="11"/>
      <c r="G41" s="11"/>
      <c r="H41" s="11"/>
      <c r="I41" s="11"/>
    </row>
    <row r="42" spans="1:9" x14ac:dyDescent="0.25">
      <c r="A42" s="9"/>
    </row>
  </sheetData>
  <mergeCells count="2">
    <mergeCell ref="A6:I6"/>
    <mergeCell ref="A10:I1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CAFD4-91AA-4A54-9D7E-20D5302EC54C}">
  <sheetPr codeName="Sheet4"/>
  <dimension ref="A1:H66"/>
  <sheetViews>
    <sheetView view="pageLayout" zoomScaleNormal="100" zoomScaleSheetLayoutView="100" workbookViewId="0">
      <selection activeCell="G23" sqref="G23"/>
    </sheetView>
  </sheetViews>
  <sheetFormatPr defaultRowHeight="15" x14ac:dyDescent="0.25"/>
  <cols>
    <col min="1" max="1" width="24" customWidth="1"/>
  </cols>
  <sheetData>
    <row r="1" spans="1:8" s="46" customFormat="1" x14ac:dyDescent="0.25">
      <c r="H1" s="57" t="str">
        <f>"Project name: "&amp;VLOOKUP("Project name",lookup_helper!$B:$D,3,FALSE)</f>
        <v>Project name: test_project_YubaCity</v>
      </c>
    </row>
    <row r="2" spans="1:8" s="46" customFormat="1" x14ac:dyDescent="0.25">
      <c r="H2" s="57" t="str">
        <f>"Project community type: "&amp;VLOOKUP("Project Community Type",lookup_helper!$B:$D,3,FALSE)</f>
        <v>Project community type: Small-Town Established Communities</v>
      </c>
    </row>
    <row r="4" spans="1:8" ht="17.25" x14ac:dyDescent="0.25">
      <c r="A4" s="12" t="s">
        <v>125</v>
      </c>
    </row>
    <row r="5" spans="1:8" x14ac:dyDescent="0.25">
      <c r="A5" s="29" t="s">
        <v>269</v>
      </c>
    </row>
    <row r="23" spans="1:1" x14ac:dyDescent="0.25">
      <c r="A23" s="29" t="s">
        <v>291</v>
      </c>
    </row>
    <row r="41" spans="1:8" ht="15" customHeight="1" x14ac:dyDescent="0.25">
      <c r="B41" s="68"/>
      <c r="C41" s="68"/>
      <c r="D41" s="68"/>
      <c r="E41" s="68"/>
      <c r="F41" s="68"/>
      <c r="G41" s="68"/>
      <c r="H41" s="68"/>
    </row>
    <row r="42" spans="1:8" ht="93" customHeight="1" x14ac:dyDescent="0.25">
      <c r="A42" s="95" t="s">
        <v>270</v>
      </c>
      <c r="B42" s="95"/>
      <c r="C42" s="95"/>
      <c r="D42" s="95"/>
      <c r="E42" s="95"/>
      <c r="F42" s="95"/>
      <c r="G42" s="95"/>
      <c r="H42" s="95"/>
    </row>
    <row r="43" spans="1:8" x14ac:dyDescent="0.25">
      <c r="A43" s="68"/>
      <c r="B43" s="68"/>
      <c r="C43" s="68"/>
      <c r="D43" s="68"/>
      <c r="E43" s="68"/>
      <c r="F43" s="68"/>
      <c r="G43" s="68"/>
      <c r="H43" s="68"/>
    </row>
    <row r="44" spans="1:8" ht="30" customHeight="1" x14ac:dyDescent="0.25">
      <c r="A44" s="68"/>
      <c r="B44" s="68"/>
      <c r="C44" s="68"/>
      <c r="D44" s="68"/>
      <c r="E44" s="68"/>
      <c r="F44" s="68"/>
      <c r="G44" s="68"/>
      <c r="H44" s="68"/>
    </row>
    <row r="47" spans="1:8" x14ac:dyDescent="0.25">
      <c r="A47" s="29" t="s">
        <v>297</v>
      </c>
    </row>
    <row r="66" spans="1:8" ht="130.5" customHeight="1" x14ac:dyDescent="0.25">
      <c r="A66" s="96" t="s">
        <v>298</v>
      </c>
      <c r="B66" s="96"/>
      <c r="C66" s="96"/>
      <c r="D66" s="96"/>
      <c r="E66" s="96"/>
      <c r="F66" s="96"/>
      <c r="G66" s="96"/>
      <c r="H66" s="96"/>
    </row>
  </sheetData>
  <mergeCells count="2">
    <mergeCell ref="A42:H42"/>
    <mergeCell ref="A66:H66"/>
  </mergeCells>
  <pageMargins left="0.7" right="0.7" top="0.75" bottom="0.75" header="0.3" footer="0.3"/>
  <pageSetup scale="95"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4DCB8-A904-4048-8891-634DB5071E9F}">
  <sheetPr codeName="Sheet5"/>
  <dimension ref="A1:H64"/>
  <sheetViews>
    <sheetView view="pageLayout" topLeftCell="A56" zoomScaleNormal="100" workbookViewId="0">
      <selection activeCell="A26" sqref="A26"/>
    </sheetView>
  </sheetViews>
  <sheetFormatPr defaultRowHeight="15" x14ac:dyDescent="0.25"/>
  <cols>
    <col min="1" max="1" width="22.5703125" customWidth="1"/>
    <col min="8" max="8" width="11" customWidth="1"/>
  </cols>
  <sheetData>
    <row r="1" spans="1:8" s="65" customFormat="1" x14ac:dyDescent="0.25">
      <c r="H1" s="66" t="str">
        <f>"Project name: "&amp;VLOOKUP("Project name",lookup_helper!$B:$D,3,FALSE)</f>
        <v>Project name: test_project_YubaCity</v>
      </c>
    </row>
    <row r="2" spans="1:8" s="65" customFormat="1" x14ac:dyDescent="0.25">
      <c r="H2" s="66" t="str">
        <f>"Project community type: "&amp;VLOOKUP("Project Community Type",lookup_helper!$B:$D,3,FALSE)</f>
        <v>Project community type: Small-Town Established Communities</v>
      </c>
    </row>
    <row r="3" spans="1:8" x14ac:dyDescent="0.25">
      <c r="A3" s="58"/>
    </row>
    <row r="4" spans="1:8" ht="17.25" x14ac:dyDescent="0.25">
      <c r="A4" s="12" t="s">
        <v>126</v>
      </c>
    </row>
    <row r="5" spans="1:8" x14ac:dyDescent="0.25">
      <c r="A5" s="29" t="s">
        <v>285</v>
      </c>
    </row>
    <row r="6" spans="1:8" x14ac:dyDescent="0.25">
      <c r="A6" s="9"/>
    </row>
    <row r="7" spans="1:8" x14ac:dyDescent="0.25">
      <c r="A7" s="13"/>
    </row>
    <row r="8" spans="1:8" x14ac:dyDescent="0.25">
      <c r="A8" s="13"/>
    </row>
    <row r="9" spans="1:8" x14ac:dyDescent="0.25">
      <c r="A9" s="13"/>
    </row>
    <row r="10" spans="1:8" x14ac:dyDescent="0.25">
      <c r="A10" s="13"/>
    </row>
    <row r="11" spans="1:8" x14ac:dyDescent="0.25">
      <c r="A11" s="13"/>
    </row>
    <row r="12" spans="1:8" x14ac:dyDescent="0.25">
      <c r="A12" s="13"/>
    </row>
    <row r="13" spans="1:8" x14ac:dyDescent="0.25">
      <c r="A13" s="13"/>
    </row>
    <row r="22" spans="1:8" x14ac:dyDescent="0.25">
      <c r="A22" s="75" t="s">
        <v>286</v>
      </c>
      <c r="B22" s="73" t="str">
        <f>lookup_helper!Q7</f>
        <v>EB</v>
      </c>
      <c r="C22" s="73" t="str">
        <f>lookup_helper!R7</f>
        <v>WB</v>
      </c>
    </row>
    <row r="23" spans="1:8" ht="30" x14ac:dyDescent="0.25">
      <c r="A23" s="74" t="s">
        <v>289</v>
      </c>
      <c r="B23" s="82">
        <f>IFERROR(lookup_helper!Q9/lookup_helper!Q8,0)</f>
        <v>0.62906584321456371</v>
      </c>
      <c r="C23" s="82">
        <f>IFERROR(lookup_helper!R9/lookup_helper!R8,0)</f>
        <v>0.81902208942477273</v>
      </c>
    </row>
    <row r="25" spans="1:8" ht="15.75" thickBot="1" x14ac:dyDescent="0.3">
      <c r="A25" s="83" t="s">
        <v>131</v>
      </c>
      <c r="C25" s="70"/>
    </row>
    <row r="26" spans="1:8" ht="15.75" thickBot="1" x14ac:dyDescent="0.3">
      <c r="A26" s="84">
        <f>VLOOKUP(A25,lookup_helper!$B:$D,3,FALSE)</f>
        <v>60000</v>
      </c>
    </row>
    <row r="27" spans="1:8" x14ac:dyDescent="0.25">
      <c r="D27" s="71"/>
      <c r="E27" s="71"/>
      <c r="F27" s="71"/>
      <c r="G27" s="71"/>
      <c r="H27" s="71"/>
    </row>
    <row r="28" spans="1:8" x14ac:dyDescent="0.25">
      <c r="A28" s="69"/>
      <c r="B28" s="72"/>
      <c r="C28" s="72"/>
      <c r="D28" s="71"/>
      <c r="E28" s="71"/>
      <c r="F28" s="71"/>
      <c r="G28" s="71"/>
      <c r="H28" s="71"/>
    </row>
    <row r="29" spans="1:8" ht="67.5" customHeight="1" x14ac:dyDescent="0.25">
      <c r="A29" s="96" t="s">
        <v>294</v>
      </c>
      <c r="B29" s="96"/>
      <c r="C29" s="96"/>
      <c r="D29" s="96"/>
      <c r="E29" s="96"/>
      <c r="F29" s="96"/>
      <c r="G29" s="96"/>
      <c r="H29" s="96"/>
    </row>
    <row r="31" spans="1:8" x14ac:dyDescent="0.25">
      <c r="A31" s="71"/>
      <c r="B31" s="71"/>
      <c r="C31" s="71"/>
      <c r="D31" s="71"/>
      <c r="E31" s="71"/>
      <c r="F31" s="71"/>
      <c r="G31" s="71"/>
      <c r="H31" s="71"/>
    </row>
    <row r="32" spans="1:8" x14ac:dyDescent="0.25">
      <c r="A32" s="71"/>
      <c r="B32" s="71"/>
      <c r="C32" s="71"/>
      <c r="D32" s="71"/>
      <c r="E32" s="71"/>
      <c r="F32" s="71"/>
      <c r="G32" s="71"/>
      <c r="H32" s="71"/>
    </row>
    <row r="33" spans="1:8" x14ac:dyDescent="0.25">
      <c r="A33" s="71"/>
      <c r="B33" s="71"/>
      <c r="C33" s="71"/>
      <c r="D33" s="71"/>
      <c r="E33" s="71"/>
      <c r="F33" s="71"/>
      <c r="G33" s="71"/>
      <c r="H33" s="71"/>
    </row>
    <row r="34" spans="1:8" x14ac:dyDescent="0.25">
      <c r="A34" s="71"/>
      <c r="B34" s="71"/>
      <c r="C34" s="71"/>
      <c r="D34" s="71"/>
      <c r="E34" s="71"/>
      <c r="F34" s="71"/>
      <c r="G34" s="71"/>
      <c r="H34" s="71"/>
    </row>
    <row r="35" spans="1:8" x14ac:dyDescent="0.25">
      <c r="A35" s="71"/>
      <c r="B35" s="71"/>
      <c r="C35" s="71"/>
      <c r="D35" s="71"/>
      <c r="E35" s="71"/>
      <c r="F35" s="71"/>
      <c r="G35" s="71"/>
      <c r="H35" s="71"/>
    </row>
    <row r="36" spans="1:8" x14ac:dyDescent="0.25">
      <c r="A36" s="71"/>
      <c r="B36" s="71"/>
      <c r="C36" s="71"/>
      <c r="D36" s="71"/>
      <c r="E36" s="71"/>
      <c r="F36" s="71"/>
      <c r="G36" s="71"/>
      <c r="H36" s="71"/>
    </row>
    <row r="43" spans="1:8" x14ac:dyDescent="0.25">
      <c r="A43" s="29" t="s">
        <v>290</v>
      </c>
    </row>
    <row r="61" spans="1:8" ht="42" customHeight="1" x14ac:dyDescent="0.25">
      <c r="A61" s="96" t="s">
        <v>277</v>
      </c>
      <c r="B61" s="96"/>
      <c r="C61" s="96"/>
      <c r="D61" s="96"/>
      <c r="E61" s="96"/>
      <c r="F61" s="96"/>
      <c r="G61" s="96"/>
      <c r="H61" s="96"/>
    </row>
    <row r="64" spans="1:8" x14ac:dyDescent="0.25">
      <c r="A64" s="29" t="s">
        <v>287</v>
      </c>
    </row>
  </sheetData>
  <mergeCells count="2">
    <mergeCell ref="A61:H61"/>
    <mergeCell ref="A29:H29"/>
  </mergeCells>
  <pageMargins left="0.7" right="0.7" top="0.75" bottom="0.75" header="0.3" footer="0.3"/>
  <pageSetup orientation="portrait" r:id="rId1"/>
  <headerFooter>
    <oddFooter>&amp;LNOTE: If only zeroes appear for congestion and reliability charts, it means no data were available for the project segment.</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07DCC-1888-4FF1-B645-7715A9482FCA}">
  <sheetPr codeName="Sheet6"/>
  <dimension ref="A1:I98"/>
  <sheetViews>
    <sheetView view="pageLayout" topLeftCell="A93" zoomScaleNormal="100" zoomScaleSheetLayoutView="100" workbookViewId="0">
      <selection activeCell="C15" sqref="C15"/>
    </sheetView>
  </sheetViews>
  <sheetFormatPr defaultRowHeight="15" x14ac:dyDescent="0.25"/>
  <cols>
    <col min="1" max="1" width="17.7109375" customWidth="1"/>
    <col min="2" max="2" width="17.5703125" customWidth="1"/>
    <col min="3" max="3" width="15.28515625" customWidth="1"/>
    <col min="4" max="5" width="5.42578125" customWidth="1"/>
    <col min="8" max="8" width="14.85546875" customWidth="1"/>
  </cols>
  <sheetData>
    <row r="1" spans="1:9" s="65" customFormat="1" x14ac:dyDescent="0.25">
      <c r="H1" s="66" t="str">
        <f>"Project name: "&amp;VLOOKUP("Project name",lookup_helper!$B:$D,3,FALSE)</f>
        <v>Project name: test_project_YubaCity</v>
      </c>
    </row>
    <row r="2" spans="1:9" s="65" customFormat="1" x14ac:dyDescent="0.25">
      <c r="H2" s="66" t="str">
        <f>"Project community type: "&amp;VLOOKUP("Project Community Type",lookup_helper!$B:$D,3,FALSE)</f>
        <v>Project community type: Small-Town Established Communities</v>
      </c>
    </row>
    <row r="3" spans="1:9" x14ac:dyDescent="0.25">
      <c r="A3" s="59"/>
    </row>
    <row r="4" spans="1:9" ht="17.25" x14ac:dyDescent="0.25">
      <c r="A4" s="12" t="s">
        <v>223</v>
      </c>
    </row>
    <row r="5" spans="1:9" ht="27.75" customHeight="1" x14ac:dyDescent="0.25">
      <c r="A5" s="97" t="s">
        <v>224</v>
      </c>
      <c r="B5" s="97"/>
      <c r="C5" s="97"/>
      <c r="D5" s="97"/>
      <c r="E5" s="97"/>
    </row>
    <row r="7" spans="1:9" ht="15.75" thickBot="1" x14ac:dyDescent="0.3">
      <c r="A7" s="41" t="s">
        <v>237</v>
      </c>
    </row>
    <row r="8" spans="1:9" ht="30.75" thickBot="1" x14ac:dyDescent="0.3">
      <c r="A8" s="34" t="s">
        <v>233</v>
      </c>
      <c r="B8" s="35" t="s">
        <v>234</v>
      </c>
      <c r="C8" s="35" t="s">
        <v>235</v>
      </c>
    </row>
    <row r="9" spans="1:9" ht="15.75" thickBot="1" x14ac:dyDescent="0.3">
      <c r="A9" s="37">
        <f>VLOOKUP($A7,lookup_helper!$B:$I,MATCH("projval_2016",lookup_helper!$B$1:$I$1,0),FALSE)</f>
        <v>0.1021114271418558</v>
      </c>
      <c r="B9" s="37">
        <f>VLOOKUP($A7,lookup_helper!$B:$I,MATCH("CommunityType_2016",lookup_helper!$B$1:$I$1,0),FALSE)</f>
        <v>5.8844134774233253E-2</v>
      </c>
      <c r="C9" s="37">
        <f>VLOOKUP($A7,lookup_helper!$B:$I,MATCH("REGION_2016",lookup_helper!$B$1:$I$1,0),FALSE)</f>
        <v>1.480071598380431E-2</v>
      </c>
    </row>
    <row r="10" spans="1:9" x14ac:dyDescent="0.25">
      <c r="A10" s="38"/>
      <c r="B10" s="39"/>
      <c r="C10" s="39"/>
    </row>
    <row r="12" spans="1:9" ht="27.75" customHeight="1" x14ac:dyDescent="0.25">
      <c r="A12" s="97" t="s">
        <v>225</v>
      </c>
      <c r="B12" s="97"/>
      <c r="C12" s="97"/>
      <c r="D12" s="97"/>
      <c r="E12" s="97"/>
      <c r="F12" s="36"/>
      <c r="G12" s="36"/>
      <c r="H12" s="36"/>
      <c r="I12" s="36"/>
    </row>
    <row r="14" spans="1:9" ht="15.75" thickBot="1" x14ac:dyDescent="0.3">
      <c r="A14" s="98" t="s">
        <v>236</v>
      </c>
      <c r="B14" s="98"/>
      <c r="C14" s="98"/>
    </row>
    <row r="15" spans="1:9" ht="30.75" thickBot="1" x14ac:dyDescent="0.3">
      <c r="A15" s="34" t="s">
        <v>233</v>
      </c>
      <c r="B15" s="35" t="s">
        <v>234</v>
      </c>
      <c r="C15" s="35" t="s">
        <v>235</v>
      </c>
    </row>
    <row r="16" spans="1:9" ht="15.75" thickBot="1" x14ac:dyDescent="0.3">
      <c r="A16" s="42">
        <f>VLOOKUP($A14,lookup_helper!$B:$I,MATCH("projval_2016",lookup_helper!$1:$1,0)-1,FALSE)</f>
        <v>0.33368336973414081</v>
      </c>
      <c r="B16" s="42">
        <f>VLOOKUP($A14,lookup_helper!$B:$I,MATCH("CommunityType_2016",lookup_helper!$B$1:$I$1,0),FALSE)</f>
        <v>9.9496332560479198E-2</v>
      </c>
      <c r="C16" s="42">
        <f>VLOOKUP($A14,lookup_helper!$B:$I,MATCH("REGION_2016",lookup_helper!$B$1:$I$1,0),FALSE)</f>
        <v>0.1052465714535069</v>
      </c>
    </row>
    <row r="17" spans="1:3" x14ac:dyDescent="0.25">
      <c r="A17" s="40"/>
      <c r="B17" s="40"/>
      <c r="C17" s="40"/>
    </row>
    <row r="19" spans="1:3" x14ac:dyDescent="0.25">
      <c r="A19" s="41" t="s">
        <v>226</v>
      </c>
    </row>
    <row r="20" spans="1:3" x14ac:dyDescent="0.25">
      <c r="A20" t="s">
        <v>228</v>
      </c>
    </row>
    <row r="48" spans="1:1" x14ac:dyDescent="0.25">
      <c r="A48" s="29" t="s">
        <v>227</v>
      </c>
    </row>
    <row r="49" spans="1:3" x14ac:dyDescent="0.25">
      <c r="A49" s="29"/>
    </row>
    <row r="50" spans="1:3" ht="15.75" thickBot="1" x14ac:dyDescent="0.3">
      <c r="A50" s="41" t="s">
        <v>175</v>
      </c>
    </row>
    <row r="51" spans="1:3" ht="30.75" thickBot="1" x14ac:dyDescent="0.3">
      <c r="A51" s="34" t="s">
        <v>233</v>
      </c>
      <c r="B51" s="35" t="s">
        <v>234</v>
      </c>
      <c r="C51" s="35" t="s">
        <v>235</v>
      </c>
    </row>
    <row r="52" spans="1:3" ht="15.75" thickBot="1" x14ac:dyDescent="0.3">
      <c r="A52" s="37">
        <f>VLOOKUP($A50,lookup_helper!$B:$I,MATCH("projval_2016",lookup_helper!$1:$1,0)-1,FALSE)</f>
        <v>1.872619731652339</v>
      </c>
      <c r="B52" s="37">
        <f>VLOOKUP($A50,lookup_helper!$B:$I,MATCH("CommunityType_2016",lookup_helper!$B$1:$I$1,0),FALSE)</f>
        <v>7.4149284958128156E-2</v>
      </c>
      <c r="C52" s="37">
        <f>VLOOKUP($A50,lookup_helper!$B:$I,MATCH("REGION_2016",lookup_helper!$B$1:$I$1,0),FALSE)</f>
        <v>7.332683167880813E-2</v>
      </c>
    </row>
    <row r="55" spans="1:3" x14ac:dyDescent="0.25">
      <c r="A55" s="41" t="s">
        <v>274</v>
      </c>
    </row>
    <row r="56" spans="1:3" x14ac:dyDescent="0.25">
      <c r="A56" t="s">
        <v>229</v>
      </c>
    </row>
    <row r="95" spans="1:1" x14ac:dyDescent="0.25">
      <c r="A95" s="29" t="s">
        <v>309</v>
      </c>
    </row>
    <row r="96" spans="1:1" x14ac:dyDescent="0.25">
      <c r="A96" s="46" t="s">
        <v>310</v>
      </c>
    </row>
    <row r="97" spans="1:1" x14ac:dyDescent="0.25">
      <c r="A97" s="46" t="s">
        <v>311</v>
      </c>
    </row>
    <row r="98" spans="1:1" x14ac:dyDescent="0.25">
      <c r="A98" s="46" t="s">
        <v>312</v>
      </c>
    </row>
  </sheetData>
  <mergeCells count="3">
    <mergeCell ref="A12:E12"/>
    <mergeCell ref="A5:E5"/>
    <mergeCell ref="A14:C14"/>
  </mergeCells>
  <pageMargins left="0.7" right="0.7" top="0.75" bottom="0.75" header="0.3" footer="0.3"/>
  <pageSetup scale="90" orientation="portrait" r:id="rId1"/>
  <rowBreaks count="2" manualBreakCount="2">
    <brk id="42" max="7" man="1"/>
    <brk id="91" max="7"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8A5C7-BD60-4FDC-AB65-BF967BB22109}">
  <sheetPr codeName="Sheet7"/>
  <dimension ref="A1:H70"/>
  <sheetViews>
    <sheetView view="pageLayout" topLeftCell="A50" zoomScaleNormal="100" workbookViewId="0">
      <selection activeCell="A47" sqref="A47"/>
    </sheetView>
  </sheetViews>
  <sheetFormatPr defaultRowHeight="15" x14ac:dyDescent="0.25"/>
  <cols>
    <col min="8" max="8" width="18.28515625" customWidth="1"/>
  </cols>
  <sheetData>
    <row r="1" spans="1:8" s="65" customFormat="1" x14ac:dyDescent="0.25">
      <c r="H1" s="66" t="str">
        <f>"Project name: "&amp;VLOOKUP("Project name",lookup_helper!$B:$D,3,FALSE)</f>
        <v>Project name: test_project_YubaCity</v>
      </c>
    </row>
    <row r="2" spans="1:8" s="65" customFormat="1" x14ac:dyDescent="0.25">
      <c r="H2" s="66" t="str">
        <f>"Project community type: "&amp;VLOOKUP("Project Community Type",lookup_helper!$B:$D,3,FALSE)</f>
        <v>Project community type: Small-Town Established Communities</v>
      </c>
    </row>
    <row r="3" spans="1:8" x14ac:dyDescent="0.25">
      <c r="A3" s="59"/>
    </row>
    <row r="4" spans="1:8" ht="17.25" x14ac:dyDescent="0.25">
      <c r="A4" s="12" t="s">
        <v>230</v>
      </c>
    </row>
    <row r="5" spans="1:8" ht="75" customHeight="1" x14ac:dyDescent="0.25">
      <c r="A5" s="99" t="s">
        <v>288</v>
      </c>
      <c r="B5" s="99"/>
      <c r="C5" s="99"/>
      <c r="D5" s="99"/>
      <c r="E5" s="99"/>
      <c r="F5" s="99"/>
      <c r="G5" s="99"/>
      <c r="H5" s="99"/>
    </row>
    <row r="6" spans="1:8" x14ac:dyDescent="0.25">
      <c r="A6" s="76"/>
      <c r="B6" s="76"/>
      <c r="C6" s="76"/>
      <c r="D6" s="76"/>
      <c r="E6" s="76"/>
      <c r="F6" s="76"/>
      <c r="G6" s="76"/>
      <c r="H6" s="76"/>
    </row>
    <row r="7" spans="1:8" x14ac:dyDescent="0.25">
      <c r="A7" s="29"/>
    </row>
    <row r="8" spans="1:8" ht="15.75" x14ac:dyDescent="0.25">
      <c r="A8" s="33" t="s">
        <v>272</v>
      </c>
    </row>
    <row r="9" spans="1:8" x14ac:dyDescent="0.25">
      <c r="A9" s="29"/>
    </row>
    <row r="10" spans="1:8" x14ac:dyDescent="0.25">
      <c r="A10" s="29" t="s">
        <v>231</v>
      </c>
    </row>
    <row r="11" spans="1:8" x14ac:dyDescent="0.25">
      <c r="A11" s="29"/>
    </row>
    <row r="12" spans="1:8" x14ac:dyDescent="0.25">
      <c r="A12" s="29"/>
    </row>
    <row r="13" spans="1:8" x14ac:dyDescent="0.25">
      <c r="A13" s="29"/>
    </row>
    <row r="14" spans="1:8" x14ac:dyDescent="0.25">
      <c r="A14" s="29"/>
    </row>
    <row r="15" spans="1:8" x14ac:dyDescent="0.25">
      <c r="A15" s="29"/>
    </row>
    <row r="16" spans="1:8" x14ac:dyDescent="0.25">
      <c r="A16" s="29"/>
    </row>
    <row r="17" spans="1:1" x14ac:dyDescent="0.25">
      <c r="A17" s="29"/>
    </row>
    <row r="31" spans="1:1" ht="15.75" thickBot="1" x14ac:dyDescent="0.3">
      <c r="A31" s="29" t="s">
        <v>232</v>
      </c>
    </row>
    <row r="32" spans="1:1" ht="15.75" thickBot="1" x14ac:dyDescent="0.3">
      <c r="A32" s="52">
        <f>lookup_helper!E81-lookup_helper!D81</f>
        <v>992.65999999999894</v>
      </c>
    </row>
    <row r="44" spans="1:1" ht="15" customHeight="1" x14ac:dyDescent="0.25">
      <c r="A44" s="33" t="s">
        <v>273</v>
      </c>
    </row>
    <row r="45" spans="1:1" ht="15" customHeight="1" x14ac:dyDescent="0.25">
      <c r="A45" s="33"/>
    </row>
    <row r="46" spans="1:1" ht="15.75" thickBot="1" x14ac:dyDescent="0.3">
      <c r="A46" s="29" t="s">
        <v>299</v>
      </c>
    </row>
    <row r="47" spans="1:1" ht="15.75" thickBot="1" x14ac:dyDescent="0.3">
      <c r="A47" s="53">
        <f>lookup_helper!D55</f>
        <v>657</v>
      </c>
    </row>
    <row r="50" spans="1:1" x14ac:dyDescent="0.25">
      <c r="A50" s="29" t="s">
        <v>300</v>
      </c>
    </row>
    <row r="65" spans="1:1" s="18" customFormat="1" ht="15.75" x14ac:dyDescent="0.25">
      <c r="A65" s="87"/>
    </row>
    <row r="66" spans="1:1" s="18" customFormat="1" x14ac:dyDescent="0.25">
      <c r="A66" s="88"/>
    </row>
    <row r="67" spans="1:1" s="18" customFormat="1" x14ac:dyDescent="0.25"/>
    <row r="68" spans="1:1" ht="15.75" x14ac:dyDescent="0.25">
      <c r="A68" s="33" t="s">
        <v>239</v>
      </c>
    </row>
    <row r="69" spans="1:1" ht="15.75" x14ac:dyDescent="0.25">
      <c r="A69" s="33"/>
    </row>
    <row r="70" spans="1:1" x14ac:dyDescent="0.25">
      <c r="A70" s="29" t="s">
        <v>301</v>
      </c>
    </row>
  </sheetData>
  <mergeCells count="1">
    <mergeCell ref="A5:H5"/>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69D76-764D-4B96-9AC3-904BF933FEFC}">
  <sheetPr codeName="Sheet8"/>
  <dimension ref="A1:I50"/>
  <sheetViews>
    <sheetView view="pageLayout" topLeftCell="A44" zoomScaleNormal="100" zoomScaleSheetLayoutView="100" workbookViewId="0">
      <selection activeCell="G39" sqref="G39"/>
    </sheetView>
  </sheetViews>
  <sheetFormatPr defaultRowHeight="15" x14ac:dyDescent="0.25"/>
  <cols>
    <col min="1" max="1" width="13" customWidth="1"/>
    <col min="2" max="2" width="15.140625" customWidth="1"/>
    <col min="3" max="3" width="12.85546875" customWidth="1"/>
    <col min="6" max="6" width="7.42578125" customWidth="1"/>
    <col min="7" max="7" width="7" customWidth="1"/>
    <col min="8" max="8" width="12.7109375" customWidth="1"/>
    <col min="9" max="9" width="5.5703125" customWidth="1"/>
  </cols>
  <sheetData>
    <row r="1" spans="1:9" s="65" customFormat="1" x14ac:dyDescent="0.25">
      <c r="H1" s="66" t="str">
        <f>"Project name: "&amp;VLOOKUP("Project name",lookup_helper!$B:$D,3,FALSE)</f>
        <v>Project name: test_project_YubaCity</v>
      </c>
    </row>
    <row r="2" spans="1:9" s="65" customFormat="1" x14ac:dyDescent="0.25">
      <c r="H2" s="66" t="str">
        <f>"Project community type: "&amp;VLOOKUP("Project Community Type",lookup_helper!$B:$D,3,FALSE)</f>
        <v>Project community type: Small-Town Established Communities</v>
      </c>
    </row>
    <row r="3" spans="1:9" x14ac:dyDescent="0.25">
      <c r="A3" s="59"/>
    </row>
    <row r="4" spans="1:9" ht="17.25" x14ac:dyDescent="0.25">
      <c r="A4" s="12" t="s">
        <v>240</v>
      </c>
    </row>
    <row r="5" spans="1:9" ht="37.5" customHeight="1" x14ac:dyDescent="0.25">
      <c r="A5" s="100" t="s">
        <v>271</v>
      </c>
      <c r="B5" s="100"/>
      <c r="C5" s="100"/>
      <c r="D5" s="100"/>
      <c r="E5" s="100"/>
      <c r="F5" s="100"/>
      <c r="G5" s="100"/>
      <c r="H5" s="100"/>
      <c r="I5" s="54"/>
    </row>
    <row r="6" spans="1:9" x14ac:dyDescent="0.25">
      <c r="A6" s="45">
        <f>VLOOKUP(lookup_helper!B56,lookup_helper!$B:$D,3,FALSE)</f>
        <v>1</v>
      </c>
      <c r="B6" s="31"/>
      <c r="C6" s="31"/>
      <c r="D6" s="31"/>
      <c r="E6" s="31"/>
      <c r="F6" s="31"/>
      <c r="G6" s="31"/>
      <c r="H6" s="31"/>
      <c r="I6" s="31"/>
    </row>
    <row r="7" spans="1:9" x14ac:dyDescent="0.25">
      <c r="A7" s="31"/>
      <c r="B7" s="31"/>
      <c r="C7" s="31"/>
      <c r="D7" s="31"/>
      <c r="E7" s="31"/>
      <c r="F7" s="31"/>
      <c r="G7" s="31"/>
      <c r="H7" s="31"/>
      <c r="I7" s="31"/>
    </row>
    <row r="8" spans="1:9" ht="44.25" customHeight="1" x14ac:dyDescent="0.25">
      <c r="A8" s="95" t="s">
        <v>241</v>
      </c>
      <c r="B8" s="95"/>
      <c r="C8" s="95"/>
      <c r="D8" s="95"/>
      <c r="E8" s="95"/>
      <c r="F8" s="95"/>
      <c r="G8" s="95"/>
      <c r="H8" s="95"/>
      <c r="I8" s="54"/>
    </row>
    <row r="10" spans="1:9" x14ac:dyDescent="0.25">
      <c r="A10" s="29" t="s">
        <v>242</v>
      </c>
    </row>
    <row r="11" spans="1:9" x14ac:dyDescent="0.25">
      <c r="A11" t="s">
        <v>243</v>
      </c>
    </row>
    <row r="45" spans="1:3" x14ac:dyDescent="0.25">
      <c r="A45" s="29" t="s">
        <v>244</v>
      </c>
    </row>
    <row r="46" spans="1:3" ht="15.75" thickBot="1" x14ac:dyDescent="0.3">
      <c r="A46" s="41" t="s">
        <v>193</v>
      </c>
    </row>
    <row r="47" spans="1:3" ht="45.75" thickBot="1" x14ac:dyDescent="0.3">
      <c r="A47" s="34" t="s">
        <v>278</v>
      </c>
      <c r="B47" s="35" t="s">
        <v>234</v>
      </c>
      <c r="C47" s="35" t="s">
        <v>235</v>
      </c>
    </row>
    <row r="48" spans="1:3" ht="15.75" thickBot="1" x14ac:dyDescent="0.3">
      <c r="A48" s="42">
        <f>VLOOKUP($A46,lookup_helper!$B:$I,MATCH("projval_2016",lookup_helper!$1:$1,0)-1,FALSE)</f>
        <v>7.072357263990954E-2</v>
      </c>
      <c r="B48" s="42">
        <f>VLOOKUP($A46,lookup_helper!$B:$I,MATCH("CommunityType_2016",lookup_helper!$B$1:$I$1,0),FALSE)</f>
        <v>0.1343871705182399</v>
      </c>
      <c r="C48" s="42">
        <f>VLOOKUP($A46,lookup_helper!$B:$I,MATCH("REGION_2016",lookup_helper!$B$1:$I$1,0),FALSE)</f>
        <v>0.13021497769289109</v>
      </c>
    </row>
    <row r="50" spans="1:1" x14ac:dyDescent="0.25">
      <c r="A50" s="29" t="s">
        <v>292</v>
      </c>
    </row>
  </sheetData>
  <mergeCells count="2">
    <mergeCell ref="A8:H8"/>
    <mergeCell ref="A5:H5"/>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6E368-F9A2-47B6-BFA3-FA381B41D8B7}">
  <sheetPr codeName="Sheet9"/>
  <dimension ref="A1:H72"/>
  <sheetViews>
    <sheetView view="pageLayout" topLeftCell="A52" zoomScaleNormal="100" workbookViewId="0">
      <selection activeCell="A70" sqref="A70"/>
    </sheetView>
  </sheetViews>
  <sheetFormatPr defaultRowHeight="15" x14ac:dyDescent="0.25"/>
  <cols>
    <col min="1" max="1" width="14.7109375" customWidth="1"/>
    <col min="2" max="2" width="15.42578125" customWidth="1"/>
  </cols>
  <sheetData>
    <row r="1" spans="1:8" s="65" customFormat="1" x14ac:dyDescent="0.25">
      <c r="H1" s="66" t="str">
        <f>"Project name: "&amp;VLOOKUP("Project name",lookup_helper!$B:$D,3,FALSE)</f>
        <v>Project name: test_project_YubaCity</v>
      </c>
    </row>
    <row r="2" spans="1:8" s="65" customFormat="1" x14ac:dyDescent="0.25">
      <c r="H2" s="66" t="str">
        <f>"Project community type: "&amp;VLOOKUP("Project Community Type",lookup_helper!$B:$D,3,FALSE)</f>
        <v>Project community type: Small-Town Established Communities</v>
      </c>
    </row>
    <row r="3" spans="1:8" x14ac:dyDescent="0.25">
      <c r="A3" s="59"/>
    </row>
    <row r="4" spans="1:8" ht="17.25" x14ac:dyDescent="0.25">
      <c r="A4" s="12" t="s">
        <v>245</v>
      </c>
    </row>
    <row r="5" spans="1:8" s="28" customFormat="1" ht="35.25" customHeight="1" x14ac:dyDescent="0.25">
      <c r="A5" s="95" t="s">
        <v>246</v>
      </c>
      <c r="B5" s="95"/>
      <c r="C5" s="95"/>
      <c r="D5" s="95"/>
      <c r="E5" s="95"/>
      <c r="F5" s="95"/>
      <c r="G5" s="95"/>
      <c r="H5" s="95"/>
    </row>
    <row r="7" spans="1:8" x14ac:dyDescent="0.25">
      <c r="A7" s="29" t="s">
        <v>248</v>
      </c>
    </row>
    <row r="8" spans="1:8" x14ac:dyDescent="0.25">
      <c r="A8" s="43">
        <f>VLOOKUP(lookup_helper!B86,lookup_helper!$B:$D,3,FALSE)</f>
        <v>56</v>
      </c>
    </row>
    <row r="11" spans="1:8" x14ac:dyDescent="0.25">
      <c r="A11" s="41" t="s">
        <v>247</v>
      </c>
    </row>
    <row r="12" spans="1:8" x14ac:dyDescent="0.25">
      <c r="A12" t="s">
        <v>249</v>
      </c>
    </row>
    <row r="34" spans="1:3" x14ac:dyDescent="0.25">
      <c r="A34" s="29" t="s">
        <v>303</v>
      </c>
    </row>
    <row r="35" spans="1:3" x14ac:dyDescent="0.25">
      <c r="A35" s="29"/>
    </row>
    <row r="36" spans="1:3" ht="15.75" thickBot="1" x14ac:dyDescent="0.3">
      <c r="A36" s="46" t="s">
        <v>149</v>
      </c>
    </row>
    <row r="37" spans="1:3" ht="45.75" thickBot="1" x14ac:dyDescent="0.3">
      <c r="A37" s="34" t="s">
        <v>308</v>
      </c>
      <c r="B37" s="35" t="s">
        <v>234</v>
      </c>
      <c r="C37" s="35" t="s">
        <v>235</v>
      </c>
    </row>
    <row r="38" spans="1:3" ht="15.75" thickBot="1" x14ac:dyDescent="0.3">
      <c r="A38" s="47">
        <f>VLOOKUP($A36,lookup_helper!$B:$I,MATCH("projval_2016",lookup_helper!$1:$1,0)-1,FALSE)</f>
        <v>41.285465803940781</v>
      </c>
      <c r="B38" s="47">
        <f>VLOOKUP($A36,lookup_helper!$B:$I,MATCH("CommunityType_2016",lookup_helper!$B$1:$I$1,0),FALSE)</f>
        <v>61.135362311155802</v>
      </c>
      <c r="C38" s="47">
        <f>VLOOKUP($A36,lookup_helper!$B:$I,MATCH("REGION_2016",lookup_helper!$B$1:$I$1,0),FALSE)</f>
        <v>63.369834818958772</v>
      </c>
    </row>
    <row r="39" spans="1:3" x14ac:dyDescent="0.25">
      <c r="A39" t="s">
        <v>307</v>
      </c>
    </row>
    <row r="48" spans="1:3" x14ac:dyDescent="0.25">
      <c r="A48" s="29" t="s">
        <v>250</v>
      </c>
    </row>
    <row r="69" spans="1:3" x14ac:dyDescent="0.25">
      <c r="A69" s="29" t="s">
        <v>313</v>
      </c>
    </row>
    <row r="70" spans="1:3" ht="15.75" thickBot="1" x14ac:dyDescent="0.3">
      <c r="A70" s="83" t="s">
        <v>302</v>
      </c>
    </row>
    <row r="71" spans="1:3" ht="30.75" thickBot="1" x14ac:dyDescent="0.3">
      <c r="A71" s="34" t="s">
        <v>217</v>
      </c>
      <c r="B71" s="35" t="s">
        <v>218</v>
      </c>
      <c r="C71" s="35" t="s">
        <v>219</v>
      </c>
    </row>
    <row r="72" spans="1:3" ht="15.75" thickBot="1" x14ac:dyDescent="0.3">
      <c r="A72" s="47">
        <f>VLOOKUP($A70,lookup_helper!$B:$I,MATCH("projval_2016",lookup_helper!$1:$1,0)-1,FALSE)</f>
        <v>2.1232525270598122</v>
      </c>
      <c r="B72" s="47">
        <f>VLOOKUP($A70,lookup_helper!$B:$I,MATCH("CommunityType_2016",lookup_helper!$B$1:$I$1,0),FALSE)</f>
        <v>0.28524510017006321</v>
      </c>
      <c r="C72" s="47">
        <f>VLOOKUP($A70,lookup_helper!$B:$I,MATCH("REGION_2016",lookup_helper!$B$1:$I$1,0),FALSE)</f>
        <v>0.40140092908768138</v>
      </c>
    </row>
  </sheetData>
  <mergeCells count="1">
    <mergeCell ref="A5:H5"/>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06C26-04B9-49D2-98B1-15755B05F762}">
  <sheetPr codeName="Sheet10"/>
  <dimension ref="A1:H10"/>
  <sheetViews>
    <sheetView tabSelected="1" view="pageLayout" zoomScaleNormal="100" workbookViewId="0">
      <selection activeCell="F6" sqref="F6"/>
    </sheetView>
  </sheetViews>
  <sheetFormatPr defaultRowHeight="15" x14ac:dyDescent="0.25"/>
  <cols>
    <col min="7" max="7" width="15.7109375" customWidth="1"/>
    <col min="8" max="8" width="14.85546875" customWidth="1"/>
  </cols>
  <sheetData>
    <row r="1" spans="1:8" s="65" customFormat="1" x14ac:dyDescent="0.25">
      <c r="H1" s="66" t="str">
        <f>"Project name: "&amp;VLOOKUP("Project name",lookup_helper!$B:$D,3,FALSE)</f>
        <v>Project name: test_project_YubaCity</v>
      </c>
    </row>
    <row r="2" spans="1:8" s="65" customFormat="1" x14ac:dyDescent="0.25">
      <c r="H2" s="66" t="str">
        <f>"Project community type: "&amp;VLOOKUP("Project Community Type",lookup_helper!$B:$D,3,FALSE)</f>
        <v>Project community type: Small-Town Established Communities</v>
      </c>
    </row>
    <row r="3" spans="1:8" x14ac:dyDescent="0.25">
      <c r="A3" s="59"/>
    </row>
    <row r="4" spans="1:8" ht="17.25" x14ac:dyDescent="0.25">
      <c r="A4" s="12" t="s">
        <v>253</v>
      </c>
    </row>
    <row r="6" spans="1:8" x14ac:dyDescent="0.25">
      <c r="A6" s="29" t="s">
        <v>254</v>
      </c>
    </row>
    <row r="7" spans="1:8" x14ac:dyDescent="0.25">
      <c r="A7" s="43">
        <f>VLOOKUP("Project Pavement Condition Index (PCI)",lookup_helper!$B:$D,3,FALSE)</f>
        <v>60</v>
      </c>
    </row>
    <row r="9" spans="1:8" x14ac:dyDescent="0.25">
      <c r="A9" s="29" t="s">
        <v>255</v>
      </c>
    </row>
    <row r="10" spans="1:8" x14ac:dyDescent="0.25">
      <c r="A10" s="49">
        <f>VLOOKUP("Project AADT",lookup_helper!$B:$D,3,FALSE)</f>
        <v>60000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1E1BF-1D9B-4FBF-AE3A-DF1C4AF51E3A}">
  <dimension ref="A1:I90"/>
  <sheetViews>
    <sheetView view="pageLayout" zoomScaleNormal="100" zoomScaleSheetLayoutView="100" workbookViewId="0"/>
  </sheetViews>
  <sheetFormatPr defaultRowHeight="15" x14ac:dyDescent="0.25"/>
  <cols>
    <col min="1" max="1" width="13.5703125" customWidth="1"/>
    <col min="2" max="2" width="13.85546875" customWidth="1"/>
    <col min="3" max="3" width="14" customWidth="1"/>
    <col min="4" max="4" width="13" customWidth="1"/>
    <col min="5" max="5" width="9.7109375" customWidth="1"/>
    <col min="7" max="7" width="9.28515625" customWidth="1"/>
  </cols>
  <sheetData>
    <row r="1" spans="1:8" s="65" customFormat="1" x14ac:dyDescent="0.25">
      <c r="H1" s="66" t="str">
        <f>"Project name: "&amp;VLOOKUP("Project name",lookup_helper!$B:$D,3,FALSE)</f>
        <v>Project name: test_project_YubaCity</v>
      </c>
    </row>
    <row r="2" spans="1:8" s="65" customFormat="1" x14ac:dyDescent="0.25">
      <c r="H2" s="66" t="str">
        <f>"Project community type: "&amp;VLOOKUP("Project Community Type",lookup_helper!$B:$D,3,FALSE)</f>
        <v>Project community type: Small-Town Established Communities</v>
      </c>
    </row>
    <row r="3" spans="1:8" x14ac:dyDescent="0.25">
      <c r="A3" s="31"/>
    </row>
    <row r="4" spans="1:8" ht="17.25" x14ac:dyDescent="0.25">
      <c r="A4" s="12" t="s">
        <v>256</v>
      </c>
    </row>
    <row r="5" spans="1:8" x14ac:dyDescent="0.25">
      <c r="A5" s="29" t="s">
        <v>279</v>
      </c>
    </row>
    <row r="6" spans="1:8" x14ac:dyDescent="0.25">
      <c r="A6" s="49">
        <f>lookup_helper!D95*lookup_helper!D72</f>
        <v>4050</v>
      </c>
    </row>
    <row r="9" spans="1:8" ht="15.75" thickBot="1" x14ac:dyDescent="0.3">
      <c r="A9" s="29" t="s">
        <v>280</v>
      </c>
    </row>
    <row r="10" spans="1:8" ht="45.75" thickBot="1" x14ac:dyDescent="0.3">
      <c r="A10" s="34" t="s">
        <v>257</v>
      </c>
      <c r="B10" s="35" t="s">
        <v>234</v>
      </c>
      <c r="C10" s="35" t="s">
        <v>235</v>
      </c>
    </row>
    <row r="11" spans="1:8" ht="15.75" thickBot="1" x14ac:dyDescent="0.3">
      <c r="A11" s="50">
        <f>VLOOKUP("Percent of project area residents within an EJ community",lookup_helper!$B:$D,3,FALSE)</f>
        <v>0.69863722615145762</v>
      </c>
      <c r="B11" s="50">
        <f>VLOOKUP("Percent of project area residents within an EJ community",lookup_helper!$B:$F,5,FALSE)</f>
        <v>0.34730153421679688</v>
      </c>
      <c r="C11" s="50">
        <f>VLOOKUP("Percent of project area residents within an EJ community",lookup_helper!$B:$G,6,FALSE)</f>
        <v>0.3746385676273582</v>
      </c>
    </row>
    <row r="12" spans="1:8" x14ac:dyDescent="0.25">
      <c r="A12" s="44" t="s">
        <v>258</v>
      </c>
    </row>
    <row r="16" spans="1:8" x14ac:dyDescent="0.25">
      <c r="A16" s="29" t="s">
        <v>281</v>
      </c>
    </row>
    <row r="17" spans="1:5" x14ac:dyDescent="0.25">
      <c r="B17" s="91"/>
      <c r="C17" s="91"/>
      <c r="D17" s="91"/>
      <c r="E17" s="91"/>
    </row>
    <row r="18" spans="1:5" x14ac:dyDescent="0.25">
      <c r="A18" s="91"/>
      <c r="B18" s="91"/>
      <c r="C18" s="91"/>
      <c r="D18" s="91"/>
      <c r="E18" s="91"/>
    </row>
    <row r="19" spans="1:5" x14ac:dyDescent="0.25">
      <c r="A19" s="41"/>
      <c r="B19" s="91"/>
      <c r="C19" s="91"/>
      <c r="D19" s="91"/>
      <c r="E19" s="91"/>
    </row>
    <row r="20" spans="1:5" x14ac:dyDescent="0.25">
      <c r="A20" s="91"/>
      <c r="B20" s="91"/>
      <c r="C20" s="91"/>
      <c r="D20" s="91"/>
      <c r="E20" s="91"/>
    </row>
    <row r="21" spans="1:5" x14ac:dyDescent="0.25">
      <c r="A21" s="91"/>
      <c r="B21" s="91"/>
      <c r="C21" s="91"/>
      <c r="D21" s="91"/>
      <c r="E21" s="91"/>
    </row>
    <row r="34" spans="1:1" x14ac:dyDescent="0.25">
      <c r="A34" s="13" t="s">
        <v>259</v>
      </c>
    </row>
    <row r="72" spans="1:7" ht="28.5" customHeight="1" x14ac:dyDescent="0.25">
      <c r="A72" s="96" t="s">
        <v>238</v>
      </c>
      <c r="B72" s="96"/>
      <c r="C72" s="96"/>
      <c r="D72" s="96"/>
      <c r="E72" s="96"/>
      <c r="F72" s="96"/>
      <c r="G72" s="96"/>
    </row>
    <row r="86" spans="8:9" x14ac:dyDescent="0.25">
      <c r="H86" s="90"/>
      <c r="I86" s="90"/>
    </row>
    <row r="90" spans="8:9" ht="33.75" customHeight="1" x14ac:dyDescent="0.25"/>
  </sheetData>
  <mergeCells count="1">
    <mergeCell ref="A72:G72"/>
  </mergeCells>
  <pageMargins left="0.7" right="0.7" top="0.75" bottom="0.75" header="0.3" footer="0.3"/>
  <pageSetup scale="96" orientation="portrait" r:id="rId1"/>
  <rowBreaks count="1" manualBreakCount="1">
    <brk id="44" max="7"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17"/>
  <sheetViews>
    <sheetView workbookViewId="0">
      <pane ySplit="1" topLeftCell="A71" activePane="bottomLeft" state="frozen"/>
      <selection activeCell="K90" sqref="K90"/>
      <selection pane="bottomLeft" activeCell="K90" sqref="K90"/>
    </sheetView>
  </sheetViews>
  <sheetFormatPr defaultRowHeight="15" x14ac:dyDescent="0.25"/>
  <cols>
    <col min="1" max="1" width="32.5703125" bestFit="1" customWidth="1"/>
    <col min="2" max="2" width="12.140625" bestFit="1" customWidth="1"/>
    <col min="3" max="3" width="15.7109375" bestFit="1" customWidth="1"/>
    <col min="4" max="4" width="40.28515625" bestFit="1" customWidth="1"/>
    <col min="5" max="5" width="15.7109375" bestFit="1" customWidth="1"/>
    <col min="6" max="6" width="12.85546875" bestFit="1" customWidth="1"/>
  </cols>
  <sheetData>
    <row r="1" spans="1:7" x14ac:dyDescent="0.25">
      <c r="A1" t="s">
        <v>0</v>
      </c>
      <c r="B1" t="s">
        <v>115</v>
      </c>
      <c r="C1" t="s">
        <v>116</v>
      </c>
      <c r="D1" t="s">
        <v>221</v>
      </c>
      <c r="E1" t="s">
        <v>117</v>
      </c>
      <c r="F1" t="s">
        <v>222</v>
      </c>
      <c r="G1" t="s">
        <v>118</v>
      </c>
    </row>
    <row r="2" spans="1:7" x14ac:dyDescent="0.25">
      <c r="A2" t="s">
        <v>1</v>
      </c>
      <c r="B2" t="s">
        <v>120</v>
      </c>
    </row>
    <row r="3" spans="1:7" x14ac:dyDescent="0.25">
      <c r="A3" t="s">
        <v>284</v>
      </c>
      <c r="B3" t="s">
        <v>282</v>
      </c>
    </row>
    <row r="4" spans="1:7" x14ac:dyDescent="0.25">
      <c r="A4" t="s">
        <v>2</v>
      </c>
      <c r="B4" t="s">
        <v>121</v>
      </c>
    </row>
    <row r="5" spans="1:7" x14ac:dyDescent="0.25">
      <c r="A5" t="s">
        <v>3</v>
      </c>
      <c r="B5">
        <v>60000</v>
      </c>
    </row>
    <row r="6" spans="1:7" x14ac:dyDescent="0.25">
      <c r="A6" t="s">
        <v>4</v>
      </c>
      <c r="B6">
        <v>60</v>
      </c>
    </row>
    <row r="7" spans="1:7" x14ac:dyDescent="0.25">
      <c r="A7" t="s">
        <v>5</v>
      </c>
      <c r="B7">
        <v>65</v>
      </c>
    </row>
    <row r="8" spans="1:7" x14ac:dyDescent="0.25">
      <c r="A8" t="s">
        <v>251</v>
      </c>
      <c r="B8">
        <v>1.41</v>
      </c>
    </row>
    <row r="9" spans="1:7" x14ac:dyDescent="0.25">
      <c r="A9" t="s">
        <v>6</v>
      </c>
      <c r="B9" t="s">
        <v>122</v>
      </c>
    </row>
    <row r="10" spans="1:7" x14ac:dyDescent="0.25">
      <c r="A10" s="3" t="s">
        <v>7</v>
      </c>
      <c r="B10" s="2">
        <v>1013.770763052209</v>
      </c>
      <c r="C10" s="2"/>
      <c r="D10" s="2">
        <v>1364.000856776242</v>
      </c>
      <c r="E10" s="2">
        <v>3842.410877719361</v>
      </c>
    </row>
    <row r="11" spans="1:7" x14ac:dyDescent="0.25">
      <c r="A11" s="3" t="s">
        <v>8</v>
      </c>
      <c r="B11" s="2">
        <v>2709.1952208835341</v>
      </c>
      <c r="C11" s="2"/>
      <c r="D11" s="2">
        <v>7127.5982283250496</v>
      </c>
      <c r="E11" s="2">
        <v>37354.023709342597</v>
      </c>
    </row>
    <row r="12" spans="1:7" x14ac:dyDescent="0.25">
      <c r="A12" s="3" t="s">
        <v>9</v>
      </c>
      <c r="B12" s="2">
        <v>45512.183253012037</v>
      </c>
      <c r="C12" s="2"/>
      <c r="D12" s="2">
        <v>115470.05312773889</v>
      </c>
      <c r="E12" s="2">
        <v>475047.24569611409</v>
      </c>
    </row>
    <row r="13" spans="1:7" x14ac:dyDescent="0.25">
      <c r="A13" s="3" t="s">
        <v>10</v>
      </c>
      <c r="B13" s="2">
        <v>6491.7790361445777</v>
      </c>
      <c r="C13" s="2"/>
      <c r="D13" s="2">
        <v>3942.7378655082048</v>
      </c>
      <c r="E13" s="2">
        <v>22213.193547074628</v>
      </c>
    </row>
    <row r="14" spans="1:7" x14ac:dyDescent="0.25">
      <c r="A14" s="3" t="s">
        <v>11</v>
      </c>
      <c r="B14" s="2">
        <v>1.2211646586345379</v>
      </c>
      <c r="C14" s="2"/>
      <c r="D14" s="2">
        <v>2.8359657898456958</v>
      </c>
      <c r="E14" s="2">
        <v>4.6382414187566914</v>
      </c>
    </row>
    <row r="15" spans="1:7" x14ac:dyDescent="0.25">
      <c r="A15" s="3" t="s">
        <v>12</v>
      </c>
      <c r="B15" s="2">
        <v>5.2928514056224891</v>
      </c>
      <c r="C15" s="2"/>
      <c r="D15" s="2">
        <v>11.725412674938291</v>
      </c>
      <c r="E15" s="2">
        <v>38.186082797940898</v>
      </c>
    </row>
    <row r="16" spans="1:7" x14ac:dyDescent="0.25">
      <c r="A16" s="3" t="s">
        <v>13</v>
      </c>
      <c r="B16" s="2">
        <v>94.170281124498004</v>
      </c>
      <c r="C16" s="2"/>
      <c r="D16" s="2">
        <v>163.7723231043594</v>
      </c>
      <c r="E16" s="2">
        <v>492.55290133648589</v>
      </c>
    </row>
    <row r="17" spans="1:5" x14ac:dyDescent="0.25">
      <c r="A17" s="3" t="s">
        <v>14</v>
      </c>
      <c r="B17" s="2">
        <v>10.89180722891566</v>
      </c>
      <c r="C17" s="2"/>
      <c r="D17" s="2">
        <v>6.3673234849555804</v>
      </c>
      <c r="E17" s="2">
        <v>19.46065842045931</v>
      </c>
    </row>
    <row r="18" spans="1:5" x14ac:dyDescent="0.25">
      <c r="A18" s="3" t="s">
        <v>15</v>
      </c>
      <c r="B18" s="2">
        <v>7.5514457831325306</v>
      </c>
      <c r="C18" s="2"/>
      <c r="D18" s="2">
        <v>9.6835892389165004</v>
      </c>
      <c r="E18" s="2">
        <v>17.147198276435411</v>
      </c>
    </row>
    <row r="19" spans="1:5" x14ac:dyDescent="0.25">
      <c r="A19" s="3" t="s">
        <v>16</v>
      </c>
      <c r="B19" s="2">
        <v>19.925100401606429</v>
      </c>
      <c r="C19" s="2"/>
      <c r="D19" s="2">
        <v>43.011998510238037</v>
      </c>
      <c r="E19" s="2">
        <v>140.10012353515299</v>
      </c>
    </row>
    <row r="20" spans="1:5" x14ac:dyDescent="0.25">
      <c r="A20" s="3" t="s">
        <v>17</v>
      </c>
      <c r="B20" s="2">
        <v>238.27309236947789</v>
      </c>
      <c r="C20" s="2"/>
      <c r="D20" s="2">
        <v>144.64461021519989</v>
      </c>
      <c r="E20" s="2">
        <v>520.32769799543757</v>
      </c>
    </row>
    <row r="21" spans="1:5" x14ac:dyDescent="0.25">
      <c r="A21" s="3" t="s">
        <v>18</v>
      </c>
      <c r="B21" s="2">
        <v>51.080883534136547</v>
      </c>
      <c r="C21" s="2"/>
      <c r="D21" s="2">
        <v>25.241365850741079</v>
      </c>
      <c r="E21" s="2">
        <v>77.938922900995635</v>
      </c>
    </row>
    <row r="22" spans="1:5" x14ac:dyDescent="0.25">
      <c r="A22" s="3" t="s">
        <v>19</v>
      </c>
      <c r="B22" s="2">
        <v>56</v>
      </c>
      <c r="C22" s="2"/>
      <c r="D22" s="2">
        <v>1498</v>
      </c>
      <c r="E22" s="2">
        <v>55020</v>
      </c>
    </row>
    <row r="23" spans="1:5" x14ac:dyDescent="0.25">
      <c r="A23" s="3" t="s">
        <v>20</v>
      </c>
      <c r="B23" s="3">
        <v>41.285465803940781</v>
      </c>
      <c r="C23" s="3"/>
      <c r="D23" s="3">
        <v>61.135362311155802</v>
      </c>
      <c r="E23">
        <v>63.369834818958772</v>
      </c>
    </row>
    <row r="24" spans="1:5" x14ac:dyDescent="0.25">
      <c r="A24" s="3" t="s">
        <v>21</v>
      </c>
      <c r="B24" s="3">
        <v>2</v>
      </c>
      <c r="C24" s="3"/>
      <c r="D24" s="3">
        <v>41</v>
      </c>
      <c r="E24">
        <v>1113</v>
      </c>
    </row>
    <row r="25" spans="1:5" x14ac:dyDescent="0.25">
      <c r="A25" s="3" t="s">
        <v>22</v>
      </c>
      <c r="B25" s="3">
        <v>1.474480921569314</v>
      </c>
      <c r="C25" s="3"/>
      <c r="D25" s="3">
        <v>1.6732642555122741</v>
      </c>
      <c r="E25">
        <v>1.2819088722919141</v>
      </c>
    </row>
    <row r="26" spans="1:5" x14ac:dyDescent="0.25">
      <c r="A26" s="3" t="s">
        <v>23</v>
      </c>
      <c r="B26" s="1">
        <v>3.5714285714285719E-2</v>
      </c>
      <c r="C26" s="3"/>
      <c r="D26" s="1">
        <v>2.7369826435246991E-2</v>
      </c>
      <c r="E26" s="1">
        <v>2.022900763358779E-2</v>
      </c>
    </row>
    <row r="27" spans="1:5" x14ac:dyDescent="0.25">
      <c r="A27" s="3" t="s">
        <v>24</v>
      </c>
      <c r="B27" s="3">
        <v>3</v>
      </c>
      <c r="C27" s="3"/>
      <c r="D27" s="3">
        <v>202</v>
      </c>
      <c r="E27">
        <v>6723</v>
      </c>
    </row>
    <row r="28" spans="1:5" x14ac:dyDescent="0.25">
      <c r="A28" s="1" t="s">
        <v>25</v>
      </c>
      <c r="B28" s="4">
        <v>2.1232525270598122</v>
      </c>
      <c r="C28" s="4"/>
      <c r="D28" s="4">
        <v>0.28524510017006321</v>
      </c>
      <c r="E28" s="5">
        <v>0.40140092908768138</v>
      </c>
    </row>
    <row r="29" spans="1:5" x14ac:dyDescent="0.25">
      <c r="A29" s="1" t="s">
        <v>26</v>
      </c>
      <c r="B29" s="1">
        <v>5.3571428571428568E-2</v>
      </c>
      <c r="C29" s="1"/>
      <c r="D29" s="1">
        <v>0.13484646194926569</v>
      </c>
      <c r="E29" s="1">
        <v>0.1221919302071974</v>
      </c>
    </row>
    <row r="30" spans="1:5" ht="14.25" customHeight="1" x14ac:dyDescent="0.25">
      <c r="A30" t="s">
        <v>27</v>
      </c>
      <c r="B30">
        <v>-1</v>
      </c>
    </row>
    <row r="31" spans="1:5" x14ac:dyDescent="0.25">
      <c r="A31" t="s">
        <v>28</v>
      </c>
      <c r="B31">
        <v>1</v>
      </c>
    </row>
    <row r="32" spans="1:5" x14ac:dyDescent="0.25">
      <c r="A32" t="s">
        <v>29</v>
      </c>
      <c r="B32">
        <v>7.8499999999999988</v>
      </c>
    </row>
    <row r="33" spans="1:5" x14ac:dyDescent="0.25">
      <c r="A33" t="s">
        <v>30</v>
      </c>
      <c r="B33" s="2">
        <v>1175.845221386116</v>
      </c>
    </row>
    <row r="34" spans="1:5" x14ac:dyDescent="0.25">
      <c r="A34" t="s">
        <v>31</v>
      </c>
      <c r="B34">
        <v>145.36370361752071</v>
      </c>
    </row>
    <row r="35" spans="1:5" x14ac:dyDescent="0.25">
      <c r="A35" t="s">
        <v>32</v>
      </c>
      <c r="B35">
        <v>0.1236248623319337</v>
      </c>
    </row>
    <row r="36" spans="1:5" x14ac:dyDescent="0.25">
      <c r="A36" t="s">
        <v>33</v>
      </c>
      <c r="B36" s="5">
        <v>0.1021114271418558</v>
      </c>
      <c r="C36" s="5"/>
      <c r="D36" s="5">
        <v>5.8844134774233253E-2</v>
      </c>
      <c r="E36" s="5">
        <v>1.480071598380431E-2</v>
      </c>
    </row>
    <row r="37" spans="1:5" x14ac:dyDescent="0.25">
      <c r="A37" t="s">
        <v>34</v>
      </c>
      <c r="B37" s="7"/>
    </row>
    <row r="38" spans="1:5" x14ac:dyDescent="0.25">
      <c r="A38" t="s">
        <v>35</v>
      </c>
      <c r="B38" s="7"/>
    </row>
    <row r="39" spans="1:5" x14ac:dyDescent="0.25">
      <c r="A39" t="s">
        <v>36</v>
      </c>
      <c r="B39" s="7"/>
    </row>
    <row r="40" spans="1:5" x14ac:dyDescent="0.25">
      <c r="A40" t="s">
        <v>37</v>
      </c>
      <c r="B40" s="7"/>
    </row>
    <row r="41" spans="1:5" x14ac:dyDescent="0.25">
      <c r="A41" t="s">
        <v>38</v>
      </c>
      <c r="B41" s="7"/>
    </row>
    <row r="42" spans="1:5" x14ac:dyDescent="0.25">
      <c r="A42" t="s">
        <v>39</v>
      </c>
      <c r="B42" s="7"/>
    </row>
    <row r="43" spans="1:5" x14ac:dyDescent="0.25">
      <c r="A43" t="s">
        <v>40</v>
      </c>
      <c r="B43" s="7"/>
    </row>
    <row r="44" spans="1:5" x14ac:dyDescent="0.25">
      <c r="A44" t="s">
        <v>41</v>
      </c>
      <c r="B44" s="7"/>
    </row>
    <row r="45" spans="1:5" x14ac:dyDescent="0.25">
      <c r="A45" t="s">
        <v>42</v>
      </c>
      <c r="B45" s="7"/>
    </row>
    <row r="46" spans="1:5" x14ac:dyDescent="0.25">
      <c r="A46" t="s">
        <v>43</v>
      </c>
      <c r="B46" s="7"/>
    </row>
    <row r="47" spans="1:5" x14ac:dyDescent="0.25">
      <c r="A47" t="s">
        <v>44</v>
      </c>
      <c r="B47" s="7"/>
    </row>
    <row r="48" spans="1:5" x14ac:dyDescent="0.25">
      <c r="A48" t="s">
        <v>45</v>
      </c>
      <c r="B48" s="7"/>
    </row>
    <row r="49" spans="1:2" x14ac:dyDescent="0.25">
      <c r="A49" t="s">
        <v>46</v>
      </c>
      <c r="B49" s="7"/>
    </row>
    <row r="50" spans="1:2" x14ac:dyDescent="0.25">
      <c r="A50" t="s">
        <v>47</v>
      </c>
      <c r="B50" s="7"/>
    </row>
    <row r="51" spans="1:2" x14ac:dyDescent="0.25">
      <c r="A51" t="s">
        <v>48</v>
      </c>
      <c r="B51" s="7">
        <v>7460.2525126650989</v>
      </c>
    </row>
    <row r="52" spans="1:2" x14ac:dyDescent="0.25">
      <c r="A52" t="s">
        <v>49</v>
      </c>
      <c r="B52" s="7">
        <v>63.359266107107317</v>
      </c>
    </row>
    <row r="53" spans="1:2" x14ac:dyDescent="0.25">
      <c r="A53" t="s">
        <v>50</v>
      </c>
      <c r="B53" s="7">
        <v>39.857150159123393</v>
      </c>
    </row>
    <row r="54" spans="1:2" x14ac:dyDescent="0.25">
      <c r="A54" t="s">
        <v>51</v>
      </c>
      <c r="B54" s="7">
        <v>1.1478152403679189</v>
      </c>
    </row>
    <row r="55" spans="1:2" x14ac:dyDescent="0.25">
      <c r="A55" t="s">
        <v>52</v>
      </c>
      <c r="B55" s="7">
        <v>1.162867114075685</v>
      </c>
    </row>
    <row r="56" spans="1:2" x14ac:dyDescent="0.25">
      <c r="A56" t="s">
        <v>53</v>
      </c>
      <c r="B56" s="7">
        <v>1.323087321541778</v>
      </c>
    </row>
    <row r="57" spans="1:2" x14ac:dyDescent="0.25">
      <c r="A57" t="s">
        <v>54</v>
      </c>
      <c r="B57" s="7">
        <v>1.2010105753672351</v>
      </c>
    </row>
    <row r="58" spans="1:2" x14ac:dyDescent="0.25">
      <c r="A58" t="s">
        <v>55</v>
      </c>
      <c r="B58" s="7">
        <v>7460.2525126827086</v>
      </c>
    </row>
    <row r="59" spans="1:2" x14ac:dyDescent="0.25">
      <c r="A59" t="s">
        <v>56</v>
      </c>
      <c r="B59" s="7">
        <v>66.431990942696686</v>
      </c>
    </row>
    <row r="60" spans="1:2" x14ac:dyDescent="0.25">
      <c r="A60" t="s">
        <v>57</v>
      </c>
      <c r="B60" s="7">
        <v>54.409268026535017</v>
      </c>
    </row>
    <row r="61" spans="1:2" x14ac:dyDescent="0.25">
      <c r="A61" t="s">
        <v>58</v>
      </c>
      <c r="B61" s="7">
        <v>1.081819835884438</v>
      </c>
    </row>
    <row r="62" spans="1:2" x14ac:dyDescent="0.25">
      <c r="A62" t="s">
        <v>59</v>
      </c>
      <c r="B62" s="7">
        <v>1.091630634013671</v>
      </c>
    </row>
    <row r="63" spans="1:2" x14ac:dyDescent="0.25">
      <c r="A63" t="s">
        <v>60</v>
      </c>
      <c r="B63" s="7">
        <v>1.10910333948567</v>
      </c>
    </row>
    <row r="64" spans="1:2" x14ac:dyDescent="0.25">
      <c r="A64" t="s">
        <v>61</v>
      </c>
      <c r="B64" s="7">
        <v>1.0947187607200981</v>
      </c>
    </row>
    <row r="65" spans="1:5" x14ac:dyDescent="0.25">
      <c r="A65" s="2" t="s">
        <v>62</v>
      </c>
      <c r="B65" s="2">
        <v>1.872619731652339</v>
      </c>
      <c r="D65">
        <v>7.4149284958128156E-2</v>
      </c>
      <c r="E65">
        <v>7.332683167880813E-2</v>
      </c>
    </row>
    <row r="66" spans="1:5" x14ac:dyDescent="0.25">
      <c r="A66" s="2" t="s">
        <v>63</v>
      </c>
      <c r="B66" s="2">
        <v>0.33368336973414081</v>
      </c>
      <c r="D66">
        <v>9.9496332560479198E-2</v>
      </c>
      <c r="E66">
        <v>0.1052465714535069</v>
      </c>
    </row>
    <row r="67" spans="1:5" x14ac:dyDescent="0.25">
      <c r="A67" s="2" t="s">
        <v>64</v>
      </c>
      <c r="B67" s="2" t="s">
        <v>119</v>
      </c>
    </row>
    <row r="68" spans="1:5" x14ac:dyDescent="0.25">
      <c r="A68" s="2" t="s">
        <v>65</v>
      </c>
      <c r="B68" s="81">
        <v>1.3624389724527719</v>
      </c>
    </row>
    <row r="69" spans="1:5" x14ac:dyDescent="0.25">
      <c r="A69" s="2" t="s">
        <v>66</v>
      </c>
      <c r="B69" s="81">
        <v>1.475654647382425</v>
      </c>
    </row>
    <row r="70" spans="1:5" x14ac:dyDescent="0.25">
      <c r="A70" s="2" t="s">
        <v>67</v>
      </c>
      <c r="B70" s="2">
        <v>2.8380936198351971</v>
      </c>
      <c r="D70">
        <v>1.4432109489386511</v>
      </c>
      <c r="E70">
        <v>0.38506745756398192</v>
      </c>
    </row>
    <row r="71" spans="1:5" x14ac:dyDescent="0.25">
      <c r="A71" s="2" t="s">
        <v>68</v>
      </c>
      <c r="B71" s="2">
        <v>1747</v>
      </c>
    </row>
    <row r="72" spans="1:5" x14ac:dyDescent="0.25">
      <c r="A72" s="2" t="s">
        <v>69</v>
      </c>
      <c r="B72" s="2">
        <v>4050</v>
      </c>
    </row>
    <row r="73" spans="1:5" x14ac:dyDescent="0.25">
      <c r="A73" s="2" t="s">
        <v>70</v>
      </c>
      <c r="B73" s="2">
        <v>0.69863722615145762</v>
      </c>
      <c r="D73">
        <v>0.34730153421679688</v>
      </c>
      <c r="E73">
        <v>0.3746385676273582</v>
      </c>
    </row>
    <row r="74" spans="1:5" x14ac:dyDescent="0.25">
      <c r="A74" s="2" t="s">
        <v>71</v>
      </c>
      <c r="B74" s="2">
        <v>1013.770763052209</v>
      </c>
    </row>
    <row r="75" spans="1:5" x14ac:dyDescent="0.25">
      <c r="A75" s="2" t="s">
        <v>72</v>
      </c>
      <c r="B75" s="2">
        <v>2709.1952208835341</v>
      </c>
    </row>
    <row r="76" spans="1:5" x14ac:dyDescent="0.25">
      <c r="A76" s="1" t="s">
        <v>73</v>
      </c>
      <c r="B76" s="2">
        <v>45512.183253012037</v>
      </c>
    </row>
    <row r="77" spans="1:5" x14ac:dyDescent="0.25">
      <c r="A77" s="1" t="s">
        <v>74</v>
      </c>
      <c r="B77" s="2">
        <v>6491.7790361445777</v>
      </c>
    </row>
    <row r="78" spans="1:5" x14ac:dyDescent="0.25">
      <c r="A78" s="1" t="s">
        <v>75</v>
      </c>
      <c r="B78" s="2">
        <v>272.66024096385541</v>
      </c>
    </row>
    <row r="79" spans="1:5" x14ac:dyDescent="0.25">
      <c r="A79" s="1" t="s">
        <v>76</v>
      </c>
      <c r="B79" s="2">
        <v>795.25333333333333</v>
      </c>
    </row>
    <row r="80" spans="1:5" x14ac:dyDescent="0.25">
      <c r="A80" s="1" t="s">
        <v>77</v>
      </c>
      <c r="B80" s="2">
        <v>12386.82514056225</v>
      </c>
    </row>
    <row r="81" spans="1:3" x14ac:dyDescent="0.25">
      <c r="A81" s="1" t="s">
        <v>78</v>
      </c>
      <c r="B81" s="2">
        <v>1514.9185542168671</v>
      </c>
    </row>
    <row r="82" spans="1:3" x14ac:dyDescent="0.25">
      <c r="A82" t="s">
        <v>79</v>
      </c>
      <c r="B82" s="2">
        <v>1.2211646586345379</v>
      </c>
    </row>
    <row r="83" spans="1:3" x14ac:dyDescent="0.25">
      <c r="A83" t="s">
        <v>80</v>
      </c>
      <c r="B83" s="2">
        <v>5.2928514056224891</v>
      </c>
    </row>
    <row r="84" spans="1:3" x14ac:dyDescent="0.25">
      <c r="A84" t="s">
        <v>81</v>
      </c>
      <c r="B84" s="2">
        <v>94.170281124498004</v>
      </c>
    </row>
    <row r="85" spans="1:3" x14ac:dyDescent="0.25">
      <c r="A85" t="s">
        <v>82</v>
      </c>
      <c r="B85" s="2">
        <v>10.89180722891566</v>
      </c>
    </row>
    <row r="86" spans="1:3" x14ac:dyDescent="0.25">
      <c r="A86" t="s">
        <v>83</v>
      </c>
      <c r="B86" s="2">
        <v>7.5514457831325306</v>
      </c>
    </row>
    <row r="87" spans="1:3" x14ac:dyDescent="0.25">
      <c r="A87" t="s">
        <v>84</v>
      </c>
      <c r="B87" s="2">
        <v>19.925100401606429</v>
      </c>
    </row>
    <row r="88" spans="1:3" x14ac:dyDescent="0.25">
      <c r="A88" t="s">
        <v>85</v>
      </c>
      <c r="B88" s="2">
        <v>238.27309236947789</v>
      </c>
    </row>
    <row r="89" spans="1:3" x14ac:dyDescent="0.25">
      <c r="A89" t="s">
        <v>86</v>
      </c>
      <c r="B89" s="2">
        <v>51.080883534136547</v>
      </c>
    </row>
    <row r="90" spans="1:3" x14ac:dyDescent="0.25">
      <c r="A90" t="s">
        <v>87</v>
      </c>
      <c r="B90" s="2">
        <v>5797</v>
      </c>
      <c r="C90" s="2">
        <v>6115</v>
      </c>
    </row>
    <row r="91" spans="1:3" x14ac:dyDescent="0.25">
      <c r="A91" t="s">
        <v>88</v>
      </c>
      <c r="B91" s="2">
        <v>1916</v>
      </c>
      <c r="C91" s="2">
        <v>2072.611115859987</v>
      </c>
    </row>
    <row r="92" spans="1:3" x14ac:dyDescent="0.25">
      <c r="A92" t="s">
        <v>89</v>
      </c>
      <c r="B92" s="2">
        <v>1769</v>
      </c>
      <c r="C92" s="2">
        <v>2761.6599999999989</v>
      </c>
    </row>
    <row r="93" spans="1:3" x14ac:dyDescent="0.25">
      <c r="A93" t="s">
        <v>90</v>
      </c>
      <c r="B93" s="2">
        <v>657</v>
      </c>
      <c r="C93" s="2">
        <v>796</v>
      </c>
    </row>
    <row r="94" spans="1:3" x14ac:dyDescent="0.25">
      <c r="A94" t="s">
        <v>91</v>
      </c>
      <c r="B94" s="2">
        <v>125.11</v>
      </c>
      <c r="C94" s="2">
        <v>134.03</v>
      </c>
    </row>
    <row r="95" spans="1:3" x14ac:dyDescent="0.25">
      <c r="A95" t="s">
        <v>92</v>
      </c>
      <c r="B95" s="2">
        <v>19593</v>
      </c>
      <c r="C95" s="2">
        <v>21044</v>
      </c>
    </row>
    <row r="96" spans="1:3" x14ac:dyDescent="0.25">
      <c r="A96" t="s">
        <v>93</v>
      </c>
      <c r="B96" s="2">
        <v>6806</v>
      </c>
      <c r="C96" s="2">
        <v>7661</v>
      </c>
    </row>
    <row r="97" spans="1:7" x14ac:dyDescent="0.25">
      <c r="A97" t="s">
        <v>94</v>
      </c>
      <c r="B97" s="2">
        <v>10373</v>
      </c>
      <c r="C97" s="2">
        <v>10477</v>
      </c>
    </row>
    <row r="98" spans="1:7" x14ac:dyDescent="0.25">
      <c r="A98" t="s">
        <v>95</v>
      </c>
      <c r="B98" s="2">
        <v>184</v>
      </c>
      <c r="C98" s="2">
        <v>294</v>
      </c>
    </row>
    <row r="99" spans="1:7" x14ac:dyDescent="0.25">
      <c r="A99" t="s">
        <v>96</v>
      </c>
      <c r="B99" s="2">
        <v>381</v>
      </c>
      <c r="C99" s="2">
        <v>429</v>
      </c>
    </row>
    <row r="100" spans="1:7" x14ac:dyDescent="0.25">
      <c r="A100" t="s">
        <v>97</v>
      </c>
      <c r="B100" s="2">
        <v>1526</v>
      </c>
      <c r="C100" s="2">
        <v>1827</v>
      </c>
    </row>
    <row r="101" spans="1:7" x14ac:dyDescent="0.25">
      <c r="A101" t="s">
        <v>98</v>
      </c>
      <c r="B101" s="1">
        <v>7.072357263990954E-2</v>
      </c>
      <c r="C101" s="1">
        <v>4.853240442342649E-2</v>
      </c>
      <c r="D101" s="1">
        <v>0.1343871705182399</v>
      </c>
      <c r="E101" s="1">
        <v>0.13021497769289109</v>
      </c>
    </row>
    <row r="102" spans="1:7" x14ac:dyDescent="0.25">
      <c r="A102" t="s">
        <v>99</v>
      </c>
      <c r="B102">
        <v>0.34736895830143422</v>
      </c>
      <c r="C102">
        <v>0.36404675917126023</v>
      </c>
    </row>
    <row r="103" spans="1:7" x14ac:dyDescent="0.25">
      <c r="A103" t="s">
        <v>100</v>
      </c>
      <c r="B103">
        <v>0.5294237737967642</v>
      </c>
      <c r="C103">
        <v>0.49786162326553879</v>
      </c>
    </row>
    <row r="104" spans="1:7" x14ac:dyDescent="0.25">
      <c r="A104" t="s">
        <v>101</v>
      </c>
      <c r="B104">
        <v>9.3911090695656604E-3</v>
      </c>
      <c r="C104">
        <v>1.397072799847938E-2</v>
      </c>
    </row>
    <row r="105" spans="1:7" x14ac:dyDescent="0.25">
      <c r="A105" t="s">
        <v>102</v>
      </c>
      <c r="B105">
        <v>1.9445720410350639E-2</v>
      </c>
      <c r="C105">
        <v>2.0385858201862759E-2</v>
      </c>
    </row>
    <row r="106" spans="1:7" x14ac:dyDescent="0.25">
      <c r="A106" t="s">
        <v>103</v>
      </c>
      <c r="B106">
        <v>7.7884958913897823E-2</v>
      </c>
      <c r="C106">
        <v>8.6818095419121846E-2</v>
      </c>
    </row>
    <row r="107" spans="1:7" x14ac:dyDescent="0.25">
      <c r="A107" t="s">
        <v>104</v>
      </c>
      <c r="B107" s="2">
        <v>3685</v>
      </c>
      <c r="C107" s="2">
        <v>4834.2711158599859</v>
      </c>
    </row>
    <row r="108" spans="1:7" x14ac:dyDescent="0.25">
      <c r="A108" t="s">
        <v>105</v>
      </c>
      <c r="B108">
        <v>13.047842643653521</v>
      </c>
      <c r="C108">
        <v>69.301955921047991</v>
      </c>
    </row>
    <row r="109" spans="1:7" x14ac:dyDescent="0.25">
      <c r="A109" t="s">
        <v>106</v>
      </c>
      <c r="B109">
        <v>1.3710956366053659</v>
      </c>
      <c r="C109">
        <v>1.3582230858271871</v>
      </c>
    </row>
    <row r="110" spans="1:7" x14ac:dyDescent="0.25">
      <c r="A110" t="s">
        <v>107</v>
      </c>
      <c r="B110" s="5">
        <v>0.68447077769432152</v>
      </c>
      <c r="C110" s="5">
        <v>0.68192319179405259</v>
      </c>
      <c r="D110" s="5">
        <v>0.62622069700880123</v>
      </c>
      <c r="E110" s="5">
        <v>0.99998912009623475</v>
      </c>
      <c r="F110" s="5">
        <v>0.65824713128427348</v>
      </c>
      <c r="G110" s="5">
        <v>0.93085349575304976</v>
      </c>
    </row>
    <row r="111" spans="1:7" x14ac:dyDescent="0.25">
      <c r="A111" t="s">
        <v>108</v>
      </c>
      <c r="B111" s="2">
        <v>286</v>
      </c>
      <c r="C111" s="2">
        <v>286</v>
      </c>
    </row>
    <row r="112" spans="1:7" x14ac:dyDescent="0.25">
      <c r="A112" t="s">
        <v>109</v>
      </c>
      <c r="B112" s="2">
        <v>2616</v>
      </c>
      <c r="C112" s="2">
        <v>2720.6935227499798</v>
      </c>
    </row>
    <row r="113" spans="1:3" x14ac:dyDescent="0.25">
      <c r="A113" t="s">
        <v>110</v>
      </c>
      <c r="B113" s="2">
        <v>434</v>
      </c>
      <c r="C113" s="2">
        <v>626.72434688000021</v>
      </c>
    </row>
    <row r="114" spans="1:3" x14ac:dyDescent="0.25">
      <c r="A114" t="s">
        <v>111</v>
      </c>
      <c r="B114" s="2">
        <v>757</v>
      </c>
      <c r="C114" s="2">
        <v>832.51186869999992</v>
      </c>
    </row>
    <row r="115" spans="1:3" x14ac:dyDescent="0.25">
      <c r="A115" t="s">
        <v>112</v>
      </c>
      <c r="B115" s="2">
        <v>27</v>
      </c>
      <c r="C115" s="2">
        <v>99.321348959999995</v>
      </c>
    </row>
    <row r="116" spans="1:3" x14ac:dyDescent="0.25">
      <c r="A116" t="s">
        <v>113</v>
      </c>
      <c r="B116" s="2">
        <v>567</v>
      </c>
      <c r="C116" s="2">
        <v>583.34135052999795</v>
      </c>
    </row>
    <row r="117" spans="1:3" x14ac:dyDescent="0.25">
      <c r="A117" t="s">
        <v>114</v>
      </c>
      <c r="B117" s="6">
        <v>145.36370361752071</v>
      </c>
      <c r="C117" s="6">
        <v>120.6959734688332</v>
      </c>
    </row>
  </sheetData>
  <autoFilter ref="A1:G117" xr:uid="{B8AC6F49-A85F-41C2-8B75-187D5827CD3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97DFD-9194-4D6D-AE68-E488992A8706}">
  <sheetPr codeName="Sheet2"/>
  <dimension ref="A1:R119"/>
  <sheetViews>
    <sheetView topLeftCell="B1" workbookViewId="0">
      <pane ySplit="1" topLeftCell="A2" activePane="bottomLeft" state="frozen"/>
      <selection activeCell="K90" sqref="K90"/>
      <selection pane="bottomLeft" activeCell="G1" sqref="G1:G1048576"/>
    </sheetView>
  </sheetViews>
  <sheetFormatPr defaultRowHeight="15" x14ac:dyDescent="0.25"/>
  <cols>
    <col min="1" max="1" width="32.5703125" bestFit="1" customWidth="1"/>
    <col min="2" max="2" width="36.85546875" style="28" bestFit="1" customWidth="1"/>
    <col min="3" max="3" width="21.85546875" bestFit="1" customWidth="1"/>
    <col min="4" max="9" width="21.85546875" customWidth="1"/>
    <col min="10" max="10" width="11" bestFit="1" customWidth="1"/>
    <col min="16" max="16" width="37" customWidth="1"/>
  </cols>
  <sheetData>
    <row r="1" spans="1:18" x14ac:dyDescent="0.25">
      <c r="D1" t="s">
        <v>115</v>
      </c>
      <c r="E1" t="s">
        <v>116</v>
      </c>
      <c r="F1" t="s">
        <v>221</v>
      </c>
      <c r="G1" t="s">
        <v>117</v>
      </c>
      <c r="H1" t="s">
        <v>222</v>
      </c>
      <c r="I1" t="s">
        <v>118</v>
      </c>
    </row>
    <row r="2" spans="1:18" x14ac:dyDescent="0.25">
      <c r="D2" t="s">
        <v>217</v>
      </c>
      <c r="E2" t="s">
        <v>217</v>
      </c>
      <c r="F2" t="s">
        <v>218</v>
      </c>
      <c r="G2" t="s">
        <v>219</v>
      </c>
      <c r="H2" t="s">
        <v>218</v>
      </c>
      <c r="I2" t="s">
        <v>219</v>
      </c>
    </row>
    <row r="3" spans="1:18" x14ac:dyDescent="0.25">
      <c r="A3" t="s">
        <v>127</v>
      </c>
      <c r="B3" s="28" t="s">
        <v>128</v>
      </c>
      <c r="C3" t="s">
        <v>147</v>
      </c>
      <c r="D3">
        <v>2016</v>
      </c>
      <c r="E3">
        <v>2040</v>
      </c>
      <c r="F3" t="s">
        <v>199</v>
      </c>
      <c r="G3" t="s">
        <v>201</v>
      </c>
      <c r="H3" t="s">
        <v>200</v>
      </c>
      <c r="I3" t="s">
        <v>202</v>
      </c>
      <c r="J3" t="s">
        <v>174</v>
      </c>
    </row>
    <row r="4" spans="1:18" x14ac:dyDescent="0.25">
      <c r="A4" t="s">
        <v>31</v>
      </c>
      <c r="B4" s="28" t="s">
        <v>159</v>
      </c>
      <c r="C4" t="s">
        <v>209</v>
      </c>
      <c r="D4" s="2">
        <f>VLOOKUP($A4,import!$A:$G,MATCH(lookup_helper!D$1,import!$A$1:$G$1,0),FALSE)</f>
        <v>145.36370361752071</v>
      </c>
      <c r="E4" s="2">
        <f>VLOOKUP($A4,import!$A:$G,MATCH(lookup_helper!E$1,import!$A$1:$G$1,0),FALSE)</f>
        <v>0</v>
      </c>
      <c r="F4" s="2">
        <f>VLOOKUP($A4,import!$A:$G,MATCH(lookup_helper!F$1,import!$A$1:$G$1,0),FALSE)</f>
        <v>0</v>
      </c>
      <c r="G4" s="2">
        <f>VLOOKUP($A4,import!$A:$G,MATCH(lookup_helper!G$1,import!$A$1:$G$1,0),FALSE)</f>
        <v>0</v>
      </c>
      <c r="H4" s="2">
        <f>VLOOKUP($A4,import!$A:$G,MATCH(lookup_helper!H$1,import!$A$1:$G$1,0),FALSE)</f>
        <v>0</v>
      </c>
      <c r="I4" s="2">
        <f>VLOOKUP($A4,import!$A:$G,MATCH(lookup_helper!I$1,import!$A$1:$G$1,0),FALSE)</f>
        <v>0</v>
      </c>
    </row>
    <row r="5" spans="1:18" ht="30" x14ac:dyDescent="0.25">
      <c r="A5" t="s">
        <v>32</v>
      </c>
      <c r="B5" s="28" t="s">
        <v>160</v>
      </c>
      <c r="C5" t="s">
        <v>209</v>
      </c>
      <c r="D5" s="1">
        <f>VLOOKUP($A5,import!$A:$G,MATCH(lookup_helper!D$1,import!$A$1:$G$1,0),FALSE)</f>
        <v>0.1236248623319337</v>
      </c>
      <c r="E5" s="1">
        <f>VLOOKUP($A5,import!$A:$G,MATCH(lookup_helper!E$1,import!$A$1:$G$1,0),FALSE)</f>
        <v>0</v>
      </c>
      <c r="F5" s="1">
        <f>VLOOKUP($A5,import!$A:$G,MATCH(lookup_helper!F$1,import!$A$1:$G$1,0),FALSE)</f>
        <v>0</v>
      </c>
      <c r="G5" s="1">
        <f>VLOOKUP($A5,import!$A:$G,MATCH(lookup_helper!G$1,import!$A$1:$G$1,0),FALSE)</f>
        <v>0</v>
      </c>
      <c r="H5" s="1">
        <f>VLOOKUP($A5,import!$A:$G,MATCH(lookup_helper!H$1,import!$A$1:$G$1,0),FALSE)</f>
        <v>0</v>
      </c>
      <c r="I5" s="1">
        <f>VLOOKUP($A5,import!$A:$G,MATCH(lookup_helper!I$1,import!$A$1:$G$1,0),FALSE)</f>
        <v>0</v>
      </c>
      <c r="P5" s="14" t="s">
        <v>167</v>
      </c>
      <c r="Q5" s="15"/>
      <c r="R5" s="16"/>
    </row>
    <row r="6" spans="1:18" x14ac:dyDescent="0.25">
      <c r="A6" s="2" t="s">
        <v>64</v>
      </c>
      <c r="B6" s="2" t="s">
        <v>64</v>
      </c>
      <c r="C6" t="s">
        <v>212</v>
      </c>
      <c r="D6" t="str">
        <f>VLOOKUP($A6,import!$A:$G,MATCH(lookup_helper!D$1,import!$A$1:$G$1,0),FALSE)</f>
        <v>Infill project</v>
      </c>
      <c r="E6">
        <f>VLOOKUP($A6,import!$A:$G,MATCH(lookup_helper!E$1,import!$A$1:$G$1,0),FALSE)</f>
        <v>0</v>
      </c>
      <c r="F6">
        <f>VLOOKUP($A6,import!$A:$G,MATCH(lookup_helper!F$1,import!$A$1:$G$1,0),FALSE)</f>
        <v>0</v>
      </c>
      <c r="G6">
        <f>VLOOKUP($A6,import!$A:$G,MATCH(lookup_helper!G$1,import!$A$1:$G$1,0),FALSE)</f>
        <v>0</v>
      </c>
      <c r="H6">
        <f>VLOOKUP($A6,import!$A:$G,MATCH(lookup_helper!H$1,import!$A$1:$G$1,0),FALSE)</f>
        <v>0</v>
      </c>
      <c r="I6">
        <f>VLOOKUP($A6,import!$A:$G,MATCH(lookup_helper!I$1,import!$A$1:$G$1,0),FALSE)</f>
        <v>0</v>
      </c>
      <c r="P6" s="17"/>
      <c r="Q6" s="18"/>
      <c r="R6" s="19"/>
    </row>
    <row r="7" spans="1:18" x14ac:dyDescent="0.25">
      <c r="A7" t="s">
        <v>99</v>
      </c>
      <c r="B7" s="28" t="s">
        <v>188</v>
      </c>
      <c r="C7" t="s">
        <v>212</v>
      </c>
      <c r="D7" s="1">
        <f>VLOOKUP($A7,import!$A:$G,MATCH(lookup_helper!D$1,import!$A$1:$G$1,0),FALSE)</f>
        <v>0.34736895830143422</v>
      </c>
      <c r="E7" s="1">
        <f>VLOOKUP($A7,import!$A:$G,MATCH(lookup_helper!E$1,import!$A$1:$G$1,0),FALSE)</f>
        <v>0.36404675917126023</v>
      </c>
      <c r="F7">
        <f>VLOOKUP($A7,import!$A:$G,MATCH(lookup_helper!F$1,import!$A$1:$G$1,0),FALSE)</f>
        <v>0</v>
      </c>
      <c r="G7">
        <f>VLOOKUP($A7,import!$A:$G,MATCH(lookup_helper!G$1,import!$A$1:$G$1,0),FALSE)</f>
        <v>0</v>
      </c>
      <c r="H7">
        <f>VLOOKUP($A7,import!$A:$G,MATCH(lookup_helper!H$1,import!$A$1:$G$1,0),FALSE)</f>
        <v>0</v>
      </c>
      <c r="I7">
        <f>VLOOKUP($A7,import!$A:$G,MATCH(lookup_helper!I$1,import!$A$1:$G$1,0),FALSE)</f>
        <v>0</v>
      </c>
      <c r="P7" s="20" t="s">
        <v>168</v>
      </c>
      <c r="Q7" s="18" t="str">
        <f>IF(SUMIFS($D$19:$D$42,$J$19:$J$42,"NB")&gt;0,"NB","EB")</f>
        <v>EB</v>
      </c>
      <c r="R7" s="19" t="str">
        <f>IF(SUMIFS($D$19:$D$42,$J$19:$J$42,"SB")&gt;0,"SB","WB")</f>
        <v>WB</v>
      </c>
    </row>
    <row r="8" spans="1:18" x14ac:dyDescent="0.25">
      <c r="A8" t="s">
        <v>100</v>
      </c>
      <c r="B8" s="28" t="s">
        <v>189</v>
      </c>
      <c r="C8" t="s">
        <v>212</v>
      </c>
      <c r="D8" s="1">
        <f>VLOOKUP($A8,import!$A:$G,MATCH(lookup_helper!D$1,import!$A$1:$G$1,0),FALSE)</f>
        <v>0.5294237737967642</v>
      </c>
      <c r="E8" s="1">
        <f>VLOOKUP($A8,import!$A:$G,MATCH(lookup_helper!E$1,import!$A$1:$G$1,0),FALSE)</f>
        <v>0.49786162326553879</v>
      </c>
      <c r="F8">
        <f>VLOOKUP($A8,import!$A:$G,MATCH(lookup_helper!F$1,import!$A$1:$G$1,0),FALSE)</f>
        <v>0</v>
      </c>
      <c r="G8">
        <f>VLOOKUP($A8,import!$A:$G,MATCH(lookup_helper!G$1,import!$A$1:$G$1,0),FALSE)</f>
        <v>0</v>
      </c>
      <c r="H8">
        <f>VLOOKUP($A8,import!$A:$G,MATCH(lookup_helper!H$1,import!$A$1:$G$1,0),FALSE)</f>
        <v>0</v>
      </c>
      <c r="I8">
        <f>VLOOKUP($A8,import!$A:$G,MATCH(lookup_helper!I$1,import!$A$1:$G$1,0),FALSE)</f>
        <v>0</v>
      </c>
      <c r="P8" s="17" t="s">
        <v>162</v>
      </c>
      <c r="Q8" s="21">
        <f t="array" ref="Q8">SUMPRODUCT(--($J$19:$J$42=Q$7),--($B$19:$B$42=$P8),$D$19:$D$42)</f>
        <v>63.359266107107317</v>
      </c>
      <c r="R8" s="22">
        <f t="array" ref="R8">SUMPRODUCT(--($J$19:$J$42=R$7),--($B$19:$B$42=$P8),$D$19:$D$42)</f>
        <v>66.431990942696686</v>
      </c>
    </row>
    <row r="9" spans="1:18" x14ac:dyDescent="0.25">
      <c r="A9" t="s">
        <v>101</v>
      </c>
      <c r="B9" s="28" t="s">
        <v>190</v>
      </c>
      <c r="C9" t="s">
        <v>212</v>
      </c>
      <c r="D9" s="1">
        <f>VLOOKUP($A9,import!$A:$G,MATCH(lookup_helper!D$1,import!$A$1:$G$1,0),FALSE)</f>
        <v>9.3911090695656604E-3</v>
      </c>
      <c r="E9" s="1">
        <f>VLOOKUP($A9,import!$A:$G,MATCH(lookup_helper!E$1,import!$A$1:$G$1,0),FALSE)</f>
        <v>1.397072799847938E-2</v>
      </c>
      <c r="F9">
        <f>VLOOKUP($A9,import!$A:$G,MATCH(lookup_helper!F$1,import!$A$1:$G$1,0),FALSE)</f>
        <v>0</v>
      </c>
      <c r="G9">
        <f>VLOOKUP($A9,import!$A:$G,MATCH(lookup_helper!G$1,import!$A$1:$G$1,0),FALSE)</f>
        <v>0</v>
      </c>
      <c r="H9">
        <f>VLOOKUP($A9,import!$A:$G,MATCH(lookup_helper!H$1,import!$A$1:$G$1,0),FALSE)</f>
        <v>0</v>
      </c>
      <c r="I9">
        <f>VLOOKUP($A9,import!$A:$G,MATCH(lookup_helper!I$1,import!$A$1:$G$1,0),FALSE)</f>
        <v>0</v>
      </c>
      <c r="P9" s="17" t="s">
        <v>163</v>
      </c>
      <c r="Q9" s="21">
        <f t="array" ref="Q9">SUMPRODUCT(--($J$19:$J$42=Q$7),--($B$19:$B$42=$P9),$D$19:$D$42)</f>
        <v>39.857150159123393</v>
      </c>
      <c r="R9" s="22">
        <f t="array" ref="R9">SUMPRODUCT(--($J$19:$J$42=R$7),--($B$19:$B$42=$P9),$D$19:$D$42)</f>
        <v>54.409268026535017</v>
      </c>
    </row>
    <row r="10" spans="1:18" x14ac:dyDescent="0.25">
      <c r="A10" t="s">
        <v>102</v>
      </c>
      <c r="B10" s="28" t="s">
        <v>191</v>
      </c>
      <c r="C10" t="s">
        <v>212</v>
      </c>
      <c r="D10" s="1">
        <f>VLOOKUP($A10,import!$A:$G,MATCH(lookup_helper!D$1,import!$A$1:$G$1,0),FALSE)</f>
        <v>1.9445720410350639E-2</v>
      </c>
      <c r="E10" s="1">
        <f>VLOOKUP($A10,import!$A:$G,MATCH(lookup_helper!E$1,import!$A$1:$G$1,0),FALSE)</f>
        <v>2.0385858201862759E-2</v>
      </c>
      <c r="F10">
        <f>VLOOKUP($A10,import!$A:$G,MATCH(lookup_helper!F$1,import!$A$1:$G$1,0),FALSE)</f>
        <v>0</v>
      </c>
      <c r="G10">
        <f>VLOOKUP($A10,import!$A:$G,MATCH(lookup_helper!G$1,import!$A$1:$G$1,0),FALSE)</f>
        <v>0</v>
      </c>
      <c r="H10">
        <f>VLOOKUP($A10,import!$A:$G,MATCH(lookup_helper!H$1,import!$A$1:$G$1,0),FALSE)</f>
        <v>0</v>
      </c>
      <c r="I10">
        <f>VLOOKUP($A10,import!$A:$G,MATCH(lookup_helper!I$1,import!$A$1:$G$1,0),FALSE)</f>
        <v>0</v>
      </c>
      <c r="P10" s="17"/>
      <c r="Q10" s="18"/>
      <c r="R10" s="19"/>
    </row>
    <row r="11" spans="1:18" x14ac:dyDescent="0.25">
      <c r="A11" t="s">
        <v>103</v>
      </c>
      <c r="B11" s="28" t="s">
        <v>192</v>
      </c>
      <c r="C11" t="s">
        <v>212</v>
      </c>
      <c r="D11" s="1">
        <f>VLOOKUP($A11,import!$A:$G,MATCH(lookup_helper!D$1,import!$A$1:$G$1,0),FALSE)</f>
        <v>7.7884958913897823E-2</v>
      </c>
      <c r="E11" s="1">
        <f>VLOOKUP($A11,import!$A:$G,MATCH(lookup_helper!E$1,import!$A$1:$G$1,0),FALSE)</f>
        <v>8.6818095419121846E-2</v>
      </c>
      <c r="F11">
        <f>VLOOKUP($A11,import!$A:$G,MATCH(lookup_helper!F$1,import!$A$1:$G$1,0),FALSE)</f>
        <v>0</v>
      </c>
      <c r="G11">
        <f>VLOOKUP($A11,import!$A:$G,MATCH(lookup_helper!G$1,import!$A$1:$G$1,0),FALSE)</f>
        <v>0</v>
      </c>
      <c r="H11">
        <f>VLOOKUP($A11,import!$A:$G,MATCH(lookup_helper!H$1,import!$A$1:$G$1,0),FALSE)</f>
        <v>0</v>
      </c>
      <c r="I11">
        <f>VLOOKUP($A11,import!$A:$G,MATCH(lookup_helper!I$1,import!$A$1:$G$1,0),FALSE)</f>
        <v>0</v>
      </c>
      <c r="P11" s="17"/>
      <c r="Q11" s="18"/>
      <c r="R11" s="19"/>
    </row>
    <row r="12" spans="1:18" x14ac:dyDescent="0.25">
      <c r="A12" t="s">
        <v>113</v>
      </c>
      <c r="B12" s="28" t="str">
        <f t="shared" ref="B12:B17" si="0">A12</f>
        <v>Very Low or Rural Res Density</v>
      </c>
      <c r="C12" t="s">
        <v>212</v>
      </c>
      <c r="D12" s="2">
        <f>VLOOKUP($A12,import!$A:$G,MATCH(lookup_helper!D$1,import!$A$1:$G$1,0),FALSE)</f>
        <v>567</v>
      </c>
      <c r="E12" s="2">
        <f>VLOOKUP($A12,import!$A:$G,MATCH(lookup_helper!E$1,import!$A$1:$G$1,0),FALSE)</f>
        <v>583.34135052999795</v>
      </c>
      <c r="F12">
        <f>VLOOKUP($A12,import!$A:$G,MATCH(lookup_helper!F$1,import!$A$1:$G$1,0),FALSE)</f>
        <v>0</v>
      </c>
      <c r="G12">
        <f>VLOOKUP($A12,import!$A:$G,MATCH(lookup_helper!G$1,import!$A$1:$G$1,0),FALSE)</f>
        <v>0</v>
      </c>
      <c r="H12">
        <f>VLOOKUP($A12,import!$A:$G,MATCH(lookup_helper!H$1,import!$A$1:$G$1,0),FALSE)</f>
        <v>0</v>
      </c>
      <c r="I12">
        <f>VLOOKUP($A12,import!$A:$G,MATCH(lookup_helper!I$1,import!$A$1:$G$1,0),FALSE)</f>
        <v>0</v>
      </c>
      <c r="P12" s="17"/>
      <c r="Q12" s="18"/>
      <c r="R12" s="19"/>
    </row>
    <row r="13" spans="1:18" x14ac:dyDescent="0.25">
      <c r="A13" t="s">
        <v>109</v>
      </c>
      <c r="B13" s="28" t="str">
        <f t="shared" si="0"/>
        <v>Low Density</v>
      </c>
      <c r="C13" t="s">
        <v>212</v>
      </c>
      <c r="D13" s="2">
        <f>VLOOKUP($A13,import!$A:$G,MATCH(lookup_helper!D$1,import!$A$1:$G$1,0),FALSE)</f>
        <v>2616</v>
      </c>
      <c r="E13" s="2">
        <f>VLOOKUP($A13,import!$A:$G,MATCH(lookup_helper!E$1,import!$A$1:$G$1,0),FALSE)</f>
        <v>2720.6935227499798</v>
      </c>
      <c r="F13">
        <f>VLOOKUP($A13,import!$A:$G,MATCH(lookup_helper!F$1,import!$A$1:$G$1,0),FALSE)</f>
        <v>0</v>
      </c>
      <c r="G13">
        <f>VLOOKUP($A13,import!$A:$G,MATCH(lookup_helper!G$1,import!$A$1:$G$1,0),FALSE)</f>
        <v>0</v>
      </c>
      <c r="H13">
        <f>VLOOKUP($A13,import!$A:$G,MATCH(lookup_helper!H$1,import!$A$1:$G$1,0),FALSE)</f>
        <v>0</v>
      </c>
      <c r="I13">
        <f>VLOOKUP($A13,import!$A:$G,MATCH(lookup_helper!I$1,import!$A$1:$G$1,0),FALSE)</f>
        <v>0</v>
      </c>
      <c r="P13" s="20" t="s">
        <v>169</v>
      </c>
      <c r="Q13" s="18" t="str">
        <f>IF(SUMIFS($D$19:$D$42,$J$19:$J$42,"NB")&gt;0,"NB","EB")</f>
        <v>EB</v>
      </c>
      <c r="R13" s="19" t="str">
        <f>IF(SUMIFS($D$19:$D$42,$J$19:$J$42,"SB")&gt;0,"SB","WB")</f>
        <v>WB</v>
      </c>
    </row>
    <row r="14" spans="1:18" x14ac:dyDescent="0.25">
      <c r="A14" t="s">
        <v>111</v>
      </c>
      <c r="B14" s="28" t="str">
        <f t="shared" si="0"/>
        <v>Medium Density</v>
      </c>
      <c r="C14" t="s">
        <v>212</v>
      </c>
      <c r="D14" s="2">
        <f>VLOOKUP($A14,import!$A:$G,MATCH(lookup_helper!D$1,import!$A$1:$G$1,0),FALSE)</f>
        <v>757</v>
      </c>
      <c r="E14" s="2">
        <f>VLOOKUP($A14,import!$A:$G,MATCH(lookup_helper!E$1,import!$A$1:$G$1,0),FALSE)</f>
        <v>832.51186869999992</v>
      </c>
      <c r="F14">
        <f>VLOOKUP($A14,import!$A:$G,MATCH(lookup_helper!F$1,import!$A$1:$G$1,0),FALSE)</f>
        <v>0</v>
      </c>
      <c r="G14">
        <f>VLOOKUP($A14,import!$A:$G,MATCH(lookup_helper!G$1,import!$A$1:$G$1,0),FALSE)</f>
        <v>0</v>
      </c>
      <c r="H14">
        <f>VLOOKUP($A14,import!$A:$G,MATCH(lookup_helper!H$1,import!$A$1:$G$1,0),FALSE)</f>
        <v>0</v>
      </c>
      <c r="I14">
        <f>VLOOKUP($A14,import!$A:$G,MATCH(lookup_helper!I$1,import!$A$1:$G$1,0),FALSE)</f>
        <v>0</v>
      </c>
      <c r="P14" s="17" t="s">
        <v>164</v>
      </c>
      <c r="Q14" s="23">
        <f t="array" ref="Q14">SUMPRODUCT(--($J$19:$J$42=Q$7),--($B$19:$B$42=$P14),$D$19:$D$42)</f>
        <v>1.1478152403679189</v>
      </c>
      <c r="R14" s="24">
        <f t="array" ref="R14">SUMPRODUCT(--($J$19:$J$42=R$7),--($B$19:$B$42=$P14),$D$19:$D$42)</f>
        <v>1.081819835884438</v>
      </c>
    </row>
    <row r="15" spans="1:18" x14ac:dyDescent="0.25">
      <c r="A15" t="s">
        <v>110</v>
      </c>
      <c r="B15" s="28" t="str">
        <f t="shared" si="0"/>
        <v>Med-High Density</v>
      </c>
      <c r="C15" t="s">
        <v>212</v>
      </c>
      <c r="D15" s="2">
        <f>VLOOKUP($A15,import!$A:$G,MATCH(lookup_helper!D$1,import!$A$1:$G$1,0),FALSE)</f>
        <v>434</v>
      </c>
      <c r="E15" s="2">
        <f>VLOOKUP($A15,import!$A:$G,MATCH(lookup_helper!E$1,import!$A$1:$G$1,0),FALSE)</f>
        <v>626.72434688000021</v>
      </c>
      <c r="F15">
        <f>VLOOKUP($A15,import!$A:$G,MATCH(lookup_helper!F$1,import!$A$1:$G$1,0),FALSE)</f>
        <v>0</v>
      </c>
      <c r="G15">
        <f>VLOOKUP($A15,import!$A:$G,MATCH(lookup_helper!G$1,import!$A$1:$G$1,0),FALSE)</f>
        <v>0</v>
      </c>
      <c r="H15">
        <f>VLOOKUP($A15,import!$A:$G,MATCH(lookup_helper!H$1,import!$A$1:$G$1,0),FALSE)</f>
        <v>0</v>
      </c>
      <c r="I15">
        <f>VLOOKUP($A15,import!$A:$G,MATCH(lookup_helper!I$1,import!$A$1:$G$1,0),FALSE)</f>
        <v>0</v>
      </c>
      <c r="P15" s="17" t="s">
        <v>220</v>
      </c>
      <c r="Q15" s="23">
        <f t="array" ref="Q15">SUMPRODUCT(--($J$19:$J$42=Q$7),--($B$19:$B$42=$P15),$D$19:$D$42)</f>
        <v>1.162867114075685</v>
      </c>
      <c r="R15" s="24">
        <f t="array" ref="R15">SUMPRODUCT(--($J$19:$J$42=R$7),--($B$19:$B$42=$P15),$D$19:$D$42)</f>
        <v>1.091630634013671</v>
      </c>
    </row>
    <row r="16" spans="1:18" x14ac:dyDescent="0.25">
      <c r="A16" t="s">
        <v>108</v>
      </c>
      <c r="B16" s="28" t="str">
        <f t="shared" si="0"/>
        <v>High Density</v>
      </c>
      <c r="C16" t="s">
        <v>212</v>
      </c>
      <c r="D16" s="2">
        <f>VLOOKUP($A16,import!$A:$G,MATCH(lookup_helper!D$1,import!$A$1:$G$1,0),FALSE)</f>
        <v>286</v>
      </c>
      <c r="E16" s="2">
        <f>VLOOKUP($A16,import!$A:$G,MATCH(lookup_helper!E$1,import!$A$1:$G$1,0),FALSE)</f>
        <v>286</v>
      </c>
      <c r="F16">
        <f>VLOOKUP($A16,import!$A:$G,MATCH(lookup_helper!F$1,import!$A$1:$G$1,0),FALSE)</f>
        <v>0</v>
      </c>
      <c r="G16">
        <f>VLOOKUP($A16,import!$A:$G,MATCH(lookup_helper!G$1,import!$A$1:$G$1,0),FALSE)</f>
        <v>0</v>
      </c>
      <c r="H16">
        <f>VLOOKUP($A16,import!$A:$G,MATCH(lookup_helper!H$1,import!$A$1:$G$1,0),FALSE)</f>
        <v>0</v>
      </c>
      <c r="I16">
        <f>VLOOKUP($A16,import!$A:$G,MATCH(lookup_helper!I$1,import!$A$1:$G$1,0),FALSE)</f>
        <v>0</v>
      </c>
      <c r="P16" s="17" t="s">
        <v>165</v>
      </c>
      <c r="Q16" s="23">
        <f t="array" ref="Q16">SUMPRODUCT(--($J$19:$J$42=Q$7),--($B$19:$B$42=$P16),$D$19:$D$42)</f>
        <v>1.323087321541778</v>
      </c>
      <c r="R16" s="24">
        <f t="array" ref="R16">SUMPRODUCT(--($J$19:$J$42=R$7),--($B$19:$B$42=$P16),$D$19:$D$42)</f>
        <v>1.10910333948567</v>
      </c>
    </row>
    <row r="17" spans="1:18" x14ac:dyDescent="0.25">
      <c r="A17" t="s">
        <v>112</v>
      </c>
      <c r="B17" s="28" t="str">
        <f t="shared" si="0"/>
        <v>Mixed Use</v>
      </c>
      <c r="C17" t="s">
        <v>212</v>
      </c>
      <c r="D17" s="2">
        <f>VLOOKUP($A17,import!$A:$G,MATCH(lookup_helper!D$1,import!$A$1:$G$1,0),FALSE)</f>
        <v>27</v>
      </c>
      <c r="E17" s="2">
        <f>VLOOKUP($A17,import!$A:$G,MATCH(lookup_helper!E$1,import!$A$1:$G$1,0),FALSE)</f>
        <v>99.321348959999995</v>
      </c>
      <c r="F17">
        <f>VLOOKUP($A17,import!$A:$G,MATCH(lookup_helper!F$1,import!$A$1:$G$1,0),FALSE)</f>
        <v>0</v>
      </c>
      <c r="G17">
        <f>VLOOKUP($A17,import!$A:$G,MATCH(lookup_helper!G$1,import!$A$1:$G$1,0),FALSE)</f>
        <v>0</v>
      </c>
      <c r="H17">
        <f>VLOOKUP($A17,import!$A:$G,MATCH(lookup_helper!H$1,import!$A$1:$G$1,0),FALSE)</f>
        <v>0</v>
      </c>
      <c r="I17">
        <f>VLOOKUP($A17,import!$A:$G,MATCH(lookup_helper!I$1,import!$A$1:$G$1,0),FALSE)</f>
        <v>0</v>
      </c>
      <c r="P17" s="25" t="s">
        <v>166</v>
      </c>
      <c r="Q17" s="26">
        <f t="array" ref="Q17">SUMPRODUCT(--($J$19:$J$42=Q$7),--($B$19:$B$42=$P17),$D$19:$D$42)</f>
        <v>1.2010105753672351</v>
      </c>
      <c r="R17" s="27">
        <f t="array" ref="R17">SUMPRODUCT(--($J$19:$J$42=R$7),--($B$19:$B$42=$P17),$D$19:$D$42)</f>
        <v>1.0947187607200981</v>
      </c>
    </row>
    <row r="18" spans="1:18" ht="30" x14ac:dyDescent="0.25">
      <c r="A18" t="s">
        <v>114</v>
      </c>
      <c r="B18" s="28" t="s">
        <v>198</v>
      </c>
      <c r="C18" t="s">
        <v>212</v>
      </c>
      <c r="D18" s="2">
        <f>VLOOKUP($A18,import!$A:$G,MATCH(lookup_helper!D$1,import!$A$1:$G$1,0),FALSE)</f>
        <v>145.36370361752071</v>
      </c>
      <c r="E18" s="2">
        <f>VLOOKUP($A18,import!$A:$G,MATCH(lookup_helper!E$1,import!$A$1:$G$1,0),FALSE)</f>
        <v>120.6959734688332</v>
      </c>
      <c r="F18">
        <f>VLOOKUP($A18,import!$A:$G,MATCH(lookup_helper!F$1,import!$A$1:$G$1,0),FALSE)</f>
        <v>0</v>
      </c>
      <c r="G18">
        <f>VLOOKUP($A18,import!$A:$G,MATCH(lookup_helper!G$1,import!$A$1:$G$1,0),FALSE)</f>
        <v>0</v>
      </c>
      <c r="H18">
        <f>VLOOKUP($A18,import!$A:$G,MATCH(lookup_helper!H$1,import!$A$1:$G$1,0),FALSE)</f>
        <v>0</v>
      </c>
      <c r="I18">
        <f>VLOOKUP($A18,import!$A:$G,MATCH(lookup_helper!I$1,import!$A$1:$G$1,0),FALSE)</f>
        <v>0</v>
      </c>
      <c r="P18" s="63" t="s">
        <v>276</v>
      </c>
      <c r="Q18" s="61">
        <f t="array" ref="Q18">MAX(IF(ISNUMBER(SEARCH("calc_len",import!$A:$A)),import!$B:$B))</f>
        <v>7460.2525126827086</v>
      </c>
      <c r="R18" s="62"/>
    </row>
    <row r="19" spans="1:18" x14ac:dyDescent="0.25">
      <c r="A19" t="s">
        <v>35</v>
      </c>
      <c r="B19" s="28" t="s">
        <v>162</v>
      </c>
      <c r="C19" t="s">
        <v>211</v>
      </c>
      <c r="D19" s="2">
        <f>VLOOKUP($A19,import!$A:$G,MATCH(lookup_helper!D$1,import!$A$1:$G$1,0),FALSE)</f>
        <v>0</v>
      </c>
      <c r="E19" s="2">
        <f>VLOOKUP($A19,import!$A:$G,MATCH(lookup_helper!E$1,import!$A$1:$G$1,0),FALSE)</f>
        <v>0</v>
      </c>
      <c r="F19">
        <f>VLOOKUP($A19,import!$A:$G,MATCH(lookup_helper!F$1,import!$A$1:$G$1,0),FALSE)</f>
        <v>0</v>
      </c>
      <c r="G19">
        <f>VLOOKUP($A19,import!$A:$G,MATCH(lookup_helper!G$1,import!$A$1:$G$1,0),FALSE)</f>
        <v>0</v>
      </c>
      <c r="H19">
        <f>VLOOKUP($A19,import!$A:$G,MATCH(lookup_helper!H$1,import!$A$1:$G$1,0),FALSE)</f>
        <v>0</v>
      </c>
      <c r="I19">
        <f>VLOOKUP($A19,import!$A:$G,MATCH(lookup_helper!I$1,import!$A$1:$G$1,0),FALSE)</f>
        <v>0</v>
      </c>
      <c r="J19" t="s">
        <v>170</v>
      </c>
      <c r="P19" s="60" t="s">
        <v>275</v>
      </c>
      <c r="Q19" s="64">
        <f>(Q18/5280)/D118</f>
        <v>1.0020756115251865</v>
      </c>
    </row>
    <row r="20" spans="1:18" x14ac:dyDescent="0.25">
      <c r="A20" t="s">
        <v>36</v>
      </c>
      <c r="B20" s="28" t="s">
        <v>163</v>
      </c>
      <c r="C20" t="s">
        <v>211</v>
      </c>
      <c r="D20" s="2">
        <f>VLOOKUP($A20,import!$A:$G,MATCH(lookup_helper!D$1,import!$A$1:$G$1,0),FALSE)</f>
        <v>0</v>
      </c>
      <c r="E20" s="2">
        <f>VLOOKUP($A20,import!$A:$G,MATCH(lookup_helper!E$1,import!$A$1:$G$1,0),FALSE)</f>
        <v>0</v>
      </c>
      <c r="F20">
        <f>VLOOKUP($A20,import!$A:$G,MATCH(lookup_helper!F$1,import!$A$1:$G$1,0),FALSE)</f>
        <v>0</v>
      </c>
      <c r="G20">
        <f>VLOOKUP($A20,import!$A:$G,MATCH(lookup_helper!G$1,import!$A$1:$G$1,0),FALSE)</f>
        <v>0</v>
      </c>
      <c r="H20">
        <f>VLOOKUP($A20,import!$A:$G,MATCH(lookup_helper!H$1,import!$A$1:$G$1,0),FALSE)</f>
        <v>0</v>
      </c>
      <c r="I20">
        <f>VLOOKUP($A20,import!$A:$G,MATCH(lookup_helper!I$1,import!$A$1:$G$1,0),FALSE)</f>
        <v>0</v>
      </c>
      <c r="J20" t="s">
        <v>170</v>
      </c>
    </row>
    <row r="21" spans="1:18" x14ac:dyDescent="0.25">
      <c r="A21" t="s">
        <v>37</v>
      </c>
      <c r="B21" s="28" t="s">
        <v>164</v>
      </c>
      <c r="C21" t="s">
        <v>211</v>
      </c>
      <c r="D21" s="2">
        <f>VLOOKUP($A21,import!$A:$G,MATCH(lookup_helper!D$1,import!$A$1:$G$1,0),FALSE)</f>
        <v>0</v>
      </c>
      <c r="E21" s="2">
        <f>VLOOKUP($A21,import!$A:$G,MATCH(lookup_helper!E$1,import!$A$1:$G$1,0),FALSE)</f>
        <v>0</v>
      </c>
      <c r="F21">
        <f>VLOOKUP($A21,import!$A:$G,MATCH(lookup_helper!F$1,import!$A$1:$G$1,0),FALSE)</f>
        <v>0</v>
      </c>
      <c r="G21">
        <f>VLOOKUP($A21,import!$A:$G,MATCH(lookup_helper!G$1,import!$A$1:$G$1,0),FALSE)</f>
        <v>0</v>
      </c>
      <c r="H21">
        <f>VLOOKUP($A21,import!$A:$G,MATCH(lookup_helper!H$1,import!$A$1:$G$1,0),FALSE)</f>
        <v>0</v>
      </c>
      <c r="I21">
        <f>VLOOKUP($A21,import!$A:$G,MATCH(lookup_helper!I$1,import!$A$1:$G$1,0),FALSE)</f>
        <v>0</v>
      </c>
      <c r="J21" t="s">
        <v>170</v>
      </c>
    </row>
    <row r="22" spans="1:18" x14ac:dyDescent="0.25">
      <c r="A22" t="s">
        <v>38</v>
      </c>
      <c r="B22" s="28" t="s">
        <v>220</v>
      </c>
      <c r="C22" t="s">
        <v>211</v>
      </c>
      <c r="D22" s="2">
        <f>VLOOKUP($A22,import!$A:$G,MATCH(lookup_helper!D$1,import!$A$1:$G$1,0),FALSE)</f>
        <v>0</v>
      </c>
      <c r="E22" s="2">
        <f>VLOOKUP($A22,import!$A:$G,MATCH(lookup_helper!E$1,import!$A$1:$G$1,0),FALSE)</f>
        <v>0</v>
      </c>
      <c r="F22">
        <f>VLOOKUP($A22,import!$A:$G,MATCH(lookup_helper!F$1,import!$A$1:$G$1,0),FALSE)</f>
        <v>0</v>
      </c>
      <c r="G22">
        <f>VLOOKUP($A22,import!$A:$G,MATCH(lookup_helper!G$1,import!$A$1:$G$1,0),FALSE)</f>
        <v>0</v>
      </c>
      <c r="H22">
        <f>VLOOKUP($A22,import!$A:$G,MATCH(lookup_helper!H$1,import!$A$1:$G$1,0),FALSE)</f>
        <v>0</v>
      </c>
      <c r="I22">
        <f>VLOOKUP($A22,import!$A:$G,MATCH(lookup_helper!I$1,import!$A$1:$G$1,0),FALSE)</f>
        <v>0</v>
      </c>
      <c r="J22" t="s">
        <v>170</v>
      </c>
    </row>
    <row r="23" spans="1:18" x14ac:dyDescent="0.25">
      <c r="A23" t="s">
        <v>39</v>
      </c>
      <c r="B23" s="28" t="s">
        <v>165</v>
      </c>
      <c r="C23" t="s">
        <v>211</v>
      </c>
      <c r="D23" s="2">
        <f>VLOOKUP($A23,import!$A:$G,MATCH(lookup_helper!D$1,import!$A$1:$G$1,0),FALSE)</f>
        <v>0</v>
      </c>
      <c r="E23" s="2">
        <f>VLOOKUP($A23,import!$A:$G,MATCH(lookup_helper!E$1,import!$A$1:$G$1,0),FALSE)</f>
        <v>0</v>
      </c>
      <c r="F23">
        <f>VLOOKUP($A23,import!$A:$G,MATCH(lookup_helper!F$1,import!$A$1:$G$1,0),FALSE)</f>
        <v>0</v>
      </c>
      <c r="G23">
        <f>VLOOKUP($A23,import!$A:$G,MATCH(lookup_helper!G$1,import!$A$1:$G$1,0),FALSE)</f>
        <v>0</v>
      </c>
      <c r="H23">
        <f>VLOOKUP($A23,import!$A:$G,MATCH(lookup_helper!H$1,import!$A$1:$G$1,0),FALSE)</f>
        <v>0</v>
      </c>
      <c r="I23">
        <f>VLOOKUP($A23,import!$A:$G,MATCH(lookup_helper!I$1,import!$A$1:$G$1,0),FALSE)</f>
        <v>0</v>
      </c>
      <c r="J23" t="s">
        <v>170</v>
      </c>
    </row>
    <row r="24" spans="1:18" x14ac:dyDescent="0.25">
      <c r="A24" t="s">
        <v>40</v>
      </c>
      <c r="B24" s="28" t="s">
        <v>166</v>
      </c>
      <c r="C24" t="s">
        <v>211</v>
      </c>
      <c r="D24" s="2">
        <f>VLOOKUP($A24,import!$A:$G,MATCH(lookup_helper!D$1,import!$A$1:$G$1,0),FALSE)</f>
        <v>0</v>
      </c>
      <c r="E24" s="2">
        <f>VLOOKUP($A24,import!$A:$G,MATCH(lookup_helper!E$1,import!$A$1:$G$1,0),FALSE)</f>
        <v>0</v>
      </c>
      <c r="F24">
        <f>VLOOKUP($A24,import!$A:$G,MATCH(lookup_helper!F$1,import!$A$1:$G$1,0),FALSE)</f>
        <v>0</v>
      </c>
      <c r="G24">
        <f>VLOOKUP($A24,import!$A:$G,MATCH(lookup_helper!G$1,import!$A$1:$G$1,0),FALSE)</f>
        <v>0</v>
      </c>
      <c r="H24">
        <f>VLOOKUP($A24,import!$A:$G,MATCH(lookup_helper!H$1,import!$A$1:$G$1,0),FALSE)</f>
        <v>0</v>
      </c>
      <c r="I24">
        <f>VLOOKUP($A24,import!$A:$G,MATCH(lookup_helper!I$1,import!$A$1:$G$1,0),FALSE)</f>
        <v>0</v>
      </c>
      <c r="J24" t="s">
        <v>170</v>
      </c>
    </row>
    <row r="25" spans="1:18" x14ac:dyDescent="0.25">
      <c r="A25" t="s">
        <v>42</v>
      </c>
      <c r="B25" s="28" t="s">
        <v>162</v>
      </c>
      <c r="C25" t="s">
        <v>211</v>
      </c>
      <c r="D25" s="2">
        <f>VLOOKUP($A25,import!$A:$G,MATCH(lookup_helper!D$1,import!$A$1:$G$1,0),FALSE)</f>
        <v>0</v>
      </c>
      <c r="E25" s="2">
        <f>VLOOKUP($A25,import!$A:$G,MATCH(lookup_helper!E$1,import!$A$1:$G$1,0),FALSE)</f>
        <v>0</v>
      </c>
      <c r="F25">
        <f>VLOOKUP($A25,import!$A:$G,MATCH(lookup_helper!F$1,import!$A$1:$G$1,0),FALSE)</f>
        <v>0</v>
      </c>
      <c r="G25">
        <f>VLOOKUP($A25,import!$A:$G,MATCH(lookup_helper!G$1,import!$A$1:$G$1,0),FALSE)</f>
        <v>0</v>
      </c>
      <c r="H25">
        <f>VLOOKUP($A25,import!$A:$G,MATCH(lookup_helper!H$1,import!$A$1:$G$1,0),FALSE)</f>
        <v>0</v>
      </c>
      <c r="I25">
        <f>VLOOKUP($A25,import!$A:$G,MATCH(lookup_helper!I$1,import!$A$1:$G$1,0),FALSE)</f>
        <v>0</v>
      </c>
      <c r="J25" t="s">
        <v>171</v>
      </c>
    </row>
    <row r="26" spans="1:18" x14ac:dyDescent="0.25">
      <c r="A26" t="s">
        <v>43</v>
      </c>
      <c r="B26" s="28" t="s">
        <v>163</v>
      </c>
      <c r="C26" t="s">
        <v>211</v>
      </c>
      <c r="D26" s="2">
        <f>VLOOKUP($A26,import!$A:$G,MATCH(lookup_helper!D$1,import!$A$1:$G$1,0),FALSE)</f>
        <v>0</v>
      </c>
      <c r="E26" s="2">
        <f>VLOOKUP($A26,import!$A:$G,MATCH(lookup_helper!E$1,import!$A$1:$G$1,0),FALSE)</f>
        <v>0</v>
      </c>
      <c r="F26">
        <f>VLOOKUP($A26,import!$A:$G,MATCH(lookup_helper!F$1,import!$A$1:$G$1,0),FALSE)</f>
        <v>0</v>
      </c>
      <c r="G26">
        <f>VLOOKUP($A26,import!$A:$G,MATCH(lookup_helper!G$1,import!$A$1:$G$1,0),FALSE)</f>
        <v>0</v>
      </c>
      <c r="H26">
        <f>VLOOKUP($A26,import!$A:$G,MATCH(lookup_helper!H$1,import!$A$1:$G$1,0),FALSE)</f>
        <v>0</v>
      </c>
      <c r="I26">
        <f>VLOOKUP($A26,import!$A:$G,MATCH(lookup_helper!I$1,import!$A$1:$G$1,0),FALSE)</f>
        <v>0</v>
      </c>
      <c r="J26" t="s">
        <v>171</v>
      </c>
    </row>
    <row r="27" spans="1:18" x14ac:dyDescent="0.25">
      <c r="A27" t="s">
        <v>44</v>
      </c>
      <c r="B27" s="28" t="s">
        <v>164</v>
      </c>
      <c r="C27" t="s">
        <v>211</v>
      </c>
      <c r="D27" s="2">
        <f>VLOOKUP($A27,import!$A:$G,MATCH(lookup_helper!D$1,import!$A$1:$G$1,0),FALSE)</f>
        <v>0</v>
      </c>
      <c r="E27" s="2">
        <f>VLOOKUP($A27,import!$A:$G,MATCH(lookup_helper!E$1,import!$A$1:$G$1,0),FALSE)</f>
        <v>0</v>
      </c>
      <c r="F27">
        <f>VLOOKUP($A27,import!$A:$G,MATCH(lookup_helper!F$1,import!$A$1:$G$1,0),FALSE)</f>
        <v>0</v>
      </c>
      <c r="G27">
        <f>VLOOKUP($A27,import!$A:$G,MATCH(lookup_helper!G$1,import!$A$1:$G$1,0),FALSE)</f>
        <v>0</v>
      </c>
      <c r="H27">
        <f>VLOOKUP($A27,import!$A:$G,MATCH(lookup_helper!H$1,import!$A$1:$G$1,0),FALSE)</f>
        <v>0</v>
      </c>
      <c r="I27">
        <f>VLOOKUP($A27,import!$A:$G,MATCH(lookup_helper!I$1,import!$A$1:$G$1,0),FALSE)</f>
        <v>0</v>
      </c>
      <c r="J27" t="s">
        <v>171</v>
      </c>
    </row>
    <row r="28" spans="1:18" x14ac:dyDescent="0.25">
      <c r="A28" t="s">
        <v>45</v>
      </c>
      <c r="B28" s="28" t="s">
        <v>220</v>
      </c>
      <c r="C28" t="s">
        <v>211</v>
      </c>
      <c r="D28" s="2">
        <f>VLOOKUP($A28,import!$A:$G,MATCH(lookup_helper!D$1,import!$A$1:$G$1,0),FALSE)</f>
        <v>0</v>
      </c>
      <c r="E28" s="2">
        <f>VLOOKUP($A28,import!$A:$G,MATCH(lookup_helper!E$1,import!$A$1:$G$1,0),FALSE)</f>
        <v>0</v>
      </c>
      <c r="F28">
        <f>VLOOKUP($A28,import!$A:$G,MATCH(lookup_helper!F$1,import!$A$1:$G$1,0),FALSE)</f>
        <v>0</v>
      </c>
      <c r="G28">
        <f>VLOOKUP($A28,import!$A:$G,MATCH(lookup_helper!G$1,import!$A$1:$G$1,0),FALSE)</f>
        <v>0</v>
      </c>
      <c r="H28">
        <f>VLOOKUP($A28,import!$A:$G,MATCH(lookup_helper!H$1,import!$A$1:$G$1,0),FALSE)</f>
        <v>0</v>
      </c>
      <c r="I28">
        <f>VLOOKUP($A28,import!$A:$G,MATCH(lookup_helper!I$1,import!$A$1:$G$1,0),FALSE)</f>
        <v>0</v>
      </c>
      <c r="J28" t="s">
        <v>171</v>
      </c>
    </row>
    <row r="29" spans="1:18" x14ac:dyDescent="0.25">
      <c r="A29" t="s">
        <v>46</v>
      </c>
      <c r="B29" s="28" t="s">
        <v>165</v>
      </c>
      <c r="C29" t="s">
        <v>211</v>
      </c>
      <c r="D29" s="2">
        <f>VLOOKUP($A29,import!$A:$G,MATCH(lookup_helper!D$1,import!$A$1:$G$1,0),FALSE)</f>
        <v>0</v>
      </c>
      <c r="E29" s="2">
        <f>VLOOKUP($A29,import!$A:$G,MATCH(lookup_helper!E$1,import!$A$1:$G$1,0),FALSE)</f>
        <v>0</v>
      </c>
      <c r="F29">
        <f>VLOOKUP($A29,import!$A:$G,MATCH(lookup_helper!F$1,import!$A$1:$G$1,0),FALSE)</f>
        <v>0</v>
      </c>
      <c r="G29">
        <f>VLOOKUP($A29,import!$A:$G,MATCH(lookup_helper!G$1,import!$A$1:$G$1,0),FALSE)</f>
        <v>0</v>
      </c>
      <c r="H29">
        <f>VLOOKUP($A29,import!$A:$G,MATCH(lookup_helper!H$1,import!$A$1:$G$1,0),FALSE)</f>
        <v>0</v>
      </c>
      <c r="I29">
        <f>VLOOKUP($A29,import!$A:$G,MATCH(lookup_helper!I$1,import!$A$1:$G$1,0),FALSE)</f>
        <v>0</v>
      </c>
      <c r="J29" t="s">
        <v>171</v>
      </c>
    </row>
    <row r="30" spans="1:18" x14ac:dyDescent="0.25">
      <c r="A30" t="s">
        <v>47</v>
      </c>
      <c r="B30" s="28" t="s">
        <v>166</v>
      </c>
      <c r="C30" t="s">
        <v>211</v>
      </c>
      <c r="D30" s="2">
        <f>VLOOKUP($A30,import!$A:$G,MATCH(lookup_helper!D$1,import!$A$1:$G$1,0),FALSE)</f>
        <v>0</v>
      </c>
      <c r="E30" s="2">
        <f>VLOOKUP($A30,import!$A:$G,MATCH(lookup_helper!E$1,import!$A$1:$G$1,0),FALSE)</f>
        <v>0</v>
      </c>
      <c r="F30">
        <f>VLOOKUP($A30,import!$A:$G,MATCH(lookup_helper!F$1,import!$A$1:$G$1,0),FALSE)</f>
        <v>0</v>
      </c>
      <c r="G30">
        <f>VLOOKUP($A30,import!$A:$G,MATCH(lookup_helper!G$1,import!$A$1:$G$1,0),FALSE)</f>
        <v>0</v>
      </c>
      <c r="H30">
        <f>VLOOKUP($A30,import!$A:$G,MATCH(lookup_helper!H$1,import!$A$1:$G$1,0),FALSE)</f>
        <v>0</v>
      </c>
      <c r="I30">
        <f>VLOOKUP($A30,import!$A:$G,MATCH(lookup_helper!I$1,import!$A$1:$G$1,0),FALSE)</f>
        <v>0</v>
      </c>
      <c r="J30" t="s">
        <v>171</v>
      </c>
    </row>
    <row r="31" spans="1:18" x14ac:dyDescent="0.25">
      <c r="A31" t="s">
        <v>49</v>
      </c>
      <c r="B31" s="28" t="s">
        <v>162</v>
      </c>
      <c r="C31" t="s">
        <v>211</v>
      </c>
      <c r="D31" s="2">
        <f>VLOOKUP($A31,import!$A:$G,MATCH(lookup_helper!D$1,import!$A$1:$G$1,0),FALSE)</f>
        <v>63.359266107107317</v>
      </c>
      <c r="E31" s="2">
        <f>VLOOKUP($A31,import!$A:$G,MATCH(lookup_helper!E$1,import!$A$1:$G$1,0),FALSE)</f>
        <v>0</v>
      </c>
      <c r="F31">
        <f>VLOOKUP($A31,import!$A:$G,MATCH(lookup_helper!F$1,import!$A$1:$G$1,0),FALSE)</f>
        <v>0</v>
      </c>
      <c r="G31">
        <f>VLOOKUP($A31,import!$A:$G,MATCH(lookup_helper!G$1,import!$A$1:$G$1,0),FALSE)</f>
        <v>0</v>
      </c>
      <c r="H31">
        <f>VLOOKUP($A31,import!$A:$G,MATCH(lookup_helper!H$1,import!$A$1:$G$1,0),FALSE)</f>
        <v>0</v>
      </c>
      <c r="I31">
        <f>VLOOKUP($A31,import!$A:$G,MATCH(lookup_helper!I$1,import!$A$1:$G$1,0),FALSE)</f>
        <v>0</v>
      </c>
      <c r="J31" t="s">
        <v>172</v>
      </c>
    </row>
    <row r="32" spans="1:18" x14ac:dyDescent="0.25">
      <c r="A32" t="s">
        <v>50</v>
      </c>
      <c r="B32" s="28" t="s">
        <v>163</v>
      </c>
      <c r="C32" t="s">
        <v>211</v>
      </c>
      <c r="D32" s="2">
        <f>VLOOKUP($A32,import!$A:$G,MATCH(lookup_helper!D$1,import!$A$1:$G$1,0),FALSE)</f>
        <v>39.857150159123393</v>
      </c>
      <c r="E32" s="2">
        <f>VLOOKUP($A32,import!$A:$G,MATCH(lookup_helper!E$1,import!$A$1:$G$1,0),FALSE)</f>
        <v>0</v>
      </c>
      <c r="F32">
        <f>VLOOKUP($A32,import!$A:$G,MATCH(lookup_helper!F$1,import!$A$1:$G$1,0),FALSE)</f>
        <v>0</v>
      </c>
      <c r="G32">
        <f>VLOOKUP($A32,import!$A:$G,MATCH(lookup_helper!G$1,import!$A$1:$G$1,0),FALSE)</f>
        <v>0</v>
      </c>
      <c r="H32">
        <f>VLOOKUP($A32,import!$A:$G,MATCH(lookup_helper!H$1,import!$A$1:$G$1,0),FALSE)</f>
        <v>0</v>
      </c>
      <c r="I32">
        <f>VLOOKUP($A32,import!$A:$G,MATCH(lookup_helper!I$1,import!$A$1:$G$1,0),FALSE)</f>
        <v>0</v>
      </c>
      <c r="J32" t="s">
        <v>172</v>
      </c>
    </row>
    <row r="33" spans="1:10" x14ac:dyDescent="0.25">
      <c r="A33" t="s">
        <v>51</v>
      </c>
      <c r="B33" s="28" t="s">
        <v>164</v>
      </c>
      <c r="C33" t="s">
        <v>211</v>
      </c>
      <c r="D33" s="3">
        <f>VLOOKUP($A33,import!$A:$G,MATCH(lookup_helper!D$1,import!$A$1:$G$1,0),FALSE)</f>
        <v>1.1478152403679189</v>
      </c>
      <c r="E33" s="3">
        <f>VLOOKUP($A33,import!$A:$G,MATCH(lookup_helper!E$1,import!$A$1:$G$1,0),FALSE)</f>
        <v>0</v>
      </c>
      <c r="F33">
        <f>VLOOKUP($A33,import!$A:$G,MATCH(lookup_helper!F$1,import!$A$1:$G$1,0),FALSE)</f>
        <v>0</v>
      </c>
      <c r="G33">
        <f>VLOOKUP($A33,import!$A:$G,MATCH(lookup_helper!G$1,import!$A$1:$G$1,0),FALSE)</f>
        <v>0</v>
      </c>
      <c r="H33">
        <f>VLOOKUP($A33,import!$A:$G,MATCH(lookup_helper!H$1,import!$A$1:$G$1,0),FALSE)</f>
        <v>0</v>
      </c>
      <c r="I33">
        <f>VLOOKUP($A33,import!$A:$G,MATCH(lookup_helper!I$1,import!$A$1:$G$1,0),FALSE)</f>
        <v>0</v>
      </c>
      <c r="J33" t="s">
        <v>172</v>
      </c>
    </row>
    <row r="34" spans="1:10" x14ac:dyDescent="0.25">
      <c r="A34" t="s">
        <v>52</v>
      </c>
      <c r="B34" s="28" t="s">
        <v>220</v>
      </c>
      <c r="C34" t="s">
        <v>211</v>
      </c>
      <c r="D34" s="3">
        <f>VLOOKUP($A34,import!$A:$G,MATCH(lookup_helper!D$1,import!$A$1:$G$1,0),FALSE)</f>
        <v>1.162867114075685</v>
      </c>
      <c r="E34" s="3">
        <f>VLOOKUP($A34,import!$A:$G,MATCH(lookup_helper!E$1,import!$A$1:$G$1,0),FALSE)</f>
        <v>0</v>
      </c>
      <c r="F34">
        <f>VLOOKUP($A34,import!$A:$G,MATCH(lookup_helper!F$1,import!$A$1:$G$1,0),FALSE)</f>
        <v>0</v>
      </c>
      <c r="G34">
        <f>VLOOKUP($A34,import!$A:$G,MATCH(lookup_helper!G$1,import!$A$1:$G$1,0),FALSE)</f>
        <v>0</v>
      </c>
      <c r="H34">
        <f>VLOOKUP($A34,import!$A:$G,MATCH(lookup_helper!H$1,import!$A$1:$G$1,0),FALSE)</f>
        <v>0</v>
      </c>
      <c r="I34">
        <f>VLOOKUP($A34,import!$A:$G,MATCH(lookup_helper!I$1,import!$A$1:$G$1,0),FALSE)</f>
        <v>0</v>
      </c>
      <c r="J34" t="s">
        <v>172</v>
      </c>
    </row>
    <row r="35" spans="1:10" x14ac:dyDescent="0.25">
      <c r="A35" t="s">
        <v>53</v>
      </c>
      <c r="B35" s="28" t="s">
        <v>165</v>
      </c>
      <c r="C35" t="s">
        <v>211</v>
      </c>
      <c r="D35" s="3">
        <f>VLOOKUP($A35,import!$A:$G,MATCH(lookup_helper!D$1,import!$A$1:$G$1,0),FALSE)</f>
        <v>1.323087321541778</v>
      </c>
      <c r="E35" s="3">
        <f>VLOOKUP($A35,import!$A:$G,MATCH(lookup_helper!E$1,import!$A$1:$G$1,0),FALSE)</f>
        <v>0</v>
      </c>
      <c r="F35">
        <f>VLOOKUP($A35,import!$A:$G,MATCH(lookup_helper!F$1,import!$A$1:$G$1,0),FALSE)</f>
        <v>0</v>
      </c>
      <c r="G35">
        <f>VLOOKUP($A35,import!$A:$G,MATCH(lookup_helper!G$1,import!$A$1:$G$1,0),FALSE)</f>
        <v>0</v>
      </c>
      <c r="H35">
        <f>VLOOKUP($A35,import!$A:$G,MATCH(lookup_helper!H$1,import!$A$1:$G$1,0),FALSE)</f>
        <v>0</v>
      </c>
      <c r="I35">
        <f>VLOOKUP($A35,import!$A:$G,MATCH(lookup_helper!I$1,import!$A$1:$G$1,0),FALSE)</f>
        <v>0</v>
      </c>
      <c r="J35" t="s">
        <v>172</v>
      </c>
    </row>
    <row r="36" spans="1:10" x14ac:dyDescent="0.25">
      <c r="A36" t="s">
        <v>54</v>
      </c>
      <c r="B36" s="28" t="s">
        <v>166</v>
      </c>
      <c r="C36" t="s">
        <v>211</v>
      </c>
      <c r="D36" s="3">
        <f>VLOOKUP($A36,import!$A:$G,MATCH(lookup_helper!D$1,import!$A$1:$G$1,0),FALSE)</f>
        <v>1.2010105753672351</v>
      </c>
      <c r="E36" s="3">
        <f>VLOOKUP($A36,import!$A:$G,MATCH(lookup_helper!E$1,import!$A$1:$G$1,0),FALSE)</f>
        <v>0</v>
      </c>
      <c r="F36">
        <f>VLOOKUP($A36,import!$A:$G,MATCH(lookup_helper!F$1,import!$A$1:$G$1,0),FALSE)</f>
        <v>0</v>
      </c>
      <c r="G36">
        <f>VLOOKUP($A36,import!$A:$G,MATCH(lookup_helper!G$1,import!$A$1:$G$1,0),FALSE)</f>
        <v>0</v>
      </c>
      <c r="H36">
        <f>VLOOKUP($A36,import!$A:$G,MATCH(lookup_helper!H$1,import!$A$1:$G$1,0),FALSE)</f>
        <v>0</v>
      </c>
      <c r="I36">
        <f>VLOOKUP($A36,import!$A:$G,MATCH(lookup_helper!I$1,import!$A$1:$G$1,0),FALSE)</f>
        <v>0</v>
      </c>
      <c r="J36" t="s">
        <v>172</v>
      </c>
    </row>
    <row r="37" spans="1:10" x14ac:dyDescent="0.25">
      <c r="A37" t="s">
        <v>56</v>
      </c>
      <c r="B37" s="28" t="s">
        <v>162</v>
      </c>
      <c r="C37" t="s">
        <v>211</v>
      </c>
      <c r="D37" s="2">
        <f>VLOOKUP($A37,import!$A:$G,MATCH(lookup_helper!D$1,import!$A$1:$G$1,0),FALSE)</f>
        <v>66.431990942696686</v>
      </c>
      <c r="E37" s="2">
        <f>VLOOKUP($A37,import!$A:$G,MATCH(lookup_helper!E$1,import!$A$1:$G$1,0),FALSE)</f>
        <v>0</v>
      </c>
      <c r="F37">
        <f>VLOOKUP($A37,import!$A:$G,MATCH(lookup_helper!F$1,import!$A$1:$G$1,0),FALSE)</f>
        <v>0</v>
      </c>
      <c r="G37">
        <f>VLOOKUP($A37,import!$A:$G,MATCH(lookup_helper!G$1,import!$A$1:$G$1,0),FALSE)</f>
        <v>0</v>
      </c>
      <c r="H37">
        <f>VLOOKUP($A37,import!$A:$G,MATCH(lookup_helper!H$1,import!$A$1:$G$1,0),FALSE)</f>
        <v>0</v>
      </c>
      <c r="I37">
        <f>VLOOKUP($A37,import!$A:$G,MATCH(lookup_helper!I$1,import!$A$1:$G$1,0),FALSE)</f>
        <v>0</v>
      </c>
      <c r="J37" t="s">
        <v>173</v>
      </c>
    </row>
    <row r="38" spans="1:10" x14ac:dyDescent="0.25">
      <c r="A38" t="s">
        <v>57</v>
      </c>
      <c r="B38" s="28" t="s">
        <v>163</v>
      </c>
      <c r="C38" t="s">
        <v>211</v>
      </c>
      <c r="D38" s="2">
        <f>VLOOKUP($A38,import!$A:$G,MATCH(lookup_helper!D$1,import!$A$1:$G$1,0),FALSE)</f>
        <v>54.409268026535017</v>
      </c>
      <c r="E38" s="2">
        <f>VLOOKUP($A38,import!$A:$G,MATCH(lookup_helper!E$1,import!$A$1:$G$1,0),FALSE)</f>
        <v>0</v>
      </c>
      <c r="F38">
        <f>VLOOKUP($A38,import!$A:$G,MATCH(lookup_helper!F$1,import!$A$1:$G$1,0),FALSE)</f>
        <v>0</v>
      </c>
      <c r="G38">
        <f>VLOOKUP($A38,import!$A:$G,MATCH(lookup_helper!G$1,import!$A$1:$G$1,0),FALSE)</f>
        <v>0</v>
      </c>
      <c r="H38">
        <f>VLOOKUP($A38,import!$A:$G,MATCH(lookup_helper!H$1,import!$A$1:$G$1,0),FALSE)</f>
        <v>0</v>
      </c>
      <c r="I38">
        <f>VLOOKUP($A38,import!$A:$G,MATCH(lookup_helper!I$1,import!$A$1:$G$1,0),FALSE)</f>
        <v>0</v>
      </c>
      <c r="J38" t="s">
        <v>173</v>
      </c>
    </row>
    <row r="39" spans="1:10" x14ac:dyDescent="0.25">
      <c r="A39" t="s">
        <v>58</v>
      </c>
      <c r="B39" s="28" t="s">
        <v>164</v>
      </c>
      <c r="C39" t="s">
        <v>211</v>
      </c>
      <c r="D39" s="3">
        <f>VLOOKUP($A39,import!$A:$G,MATCH(lookup_helper!D$1,import!$A$1:$G$1,0),FALSE)</f>
        <v>1.081819835884438</v>
      </c>
      <c r="E39" s="3">
        <f>VLOOKUP($A39,import!$A:$G,MATCH(lookup_helper!E$1,import!$A$1:$G$1,0),FALSE)</f>
        <v>0</v>
      </c>
      <c r="F39">
        <f>VLOOKUP($A39,import!$A:$G,MATCH(lookup_helper!F$1,import!$A$1:$G$1,0),FALSE)</f>
        <v>0</v>
      </c>
      <c r="G39">
        <f>VLOOKUP($A39,import!$A:$G,MATCH(lookup_helper!G$1,import!$A$1:$G$1,0),FALSE)</f>
        <v>0</v>
      </c>
      <c r="H39">
        <f>VLOOKUP($A39,import!$A:$G,MATCH(lookup_helper!H$1,import!$A$1:$G$1,0),FALSE)</f>
        <v>0</v>
      </c>
      <c r="I39">
        <f>VLOOKUP($A39,import!$A:$G,MATCH(lookup_helper!I$1,import!$A$1:$G$1,0),FALSE)</f>
        <v>0</v>
      </c>
      <c r="J39" t="s">
        <v>173</v>
      </c>
    </row>
    <row r="40" spans="1:10" x14ac:dyDescent="0.25">
      <c r="A40" t="s">
        <v>59</v>
      </c>
      <c r="B40" s="28" t="s">
        <v>220</v>
      </c>
      <c r="C40" t="s">
        <v>211</v>
      </c>
      <c r="D40" s="3">
        <f>VLOOKUP($A40,import!$A:$G,MATCH(lookup_helper!D$1,import!$A$1:$G$1,0),FALSE)</f>
        <v>1.091630634013671</v>
      </c>
      <c r="E40" s="3">
        <f>VLOOKUP($A40,import!$A:$G,MATCH(lookup_helper!E$1,import!$A$1:$G$1,0),FALSE)</f>
        <v>0</v>
      </c>
      <c r="F40">
        <f>VLOOKUP($A40,import!$A:$G,MATCH(lookup_helper!F$1,import!$A$1:$G$1,0),FALSE)</f>
        <v>0</v>
      </c>
      <c r="G40">
        <f>VLOOKUP($A40,import!$A:$G,MATCH(lookup_helper!G$1,import!$A$1:$G$1,0),FALSE)</f>
        <v>0</v>
      </c>
      <c r="H40">
        <f>VLOOKUP($A40,import!$A:$G,MATCH(lookup_helper!H$1,import!$A$1:$G$1,0),FALSE)</f>
        <v>0</v>
      </c>
      <c r="I40">
        <f>VLOOKUP($A40,import!$A:$G,MATCH(lookup_helper!I$1,import!$A$1:$G$1,0),FALSE)</f>
        <v>0</v>
      </c>
      <c r="J40" t="s">
        <v>173</v>
      </c>
    </row>
    <row r="41" spans="1:10" x14ac:dyDescent="0.25">
      <c r="A41" t="s">
        <v>60</v>
      </c>
      <c r="B41" s="28" t="s">
        <v>165</v>
      </c>
      <c r="C41" t="s">
        <v>211</v>
      </c>
      <c r="D41" s="3">
        <f>VLOOKUP($A41,import!$A:$G,MATCH(lookup_helper!D$1,import!$A$1:$G$1,0),FALSE)</f>
        <v>1.10910333948567</v>
      </c>
      <c r="E41" s="3">
        <f>VLOOKUP($A41,import!$A:$G,MATCH(lookup_helper!E$1,import!$A$1:$G$1,0),FALSE)</f>
        <v>0</v>
      </c>
      <c r="F41">
        <f>VLOOKUP($A41,import!$A:$G,MATCH(lookup_helper!F$1,import!$A$1:$G$1,0),FALSE)</f>
        <v>0</v>
      </c>
      <c r="G41">
        <f>VLOOKUP($A41,import!$A:$G,MATCH(lookup_helper!G$1,import!$A$1:$G$1,0),FALSE)</f>
        <v>0</v>
      </c>
      <c r="H41">
        <f>VLOOKUP($A41,import!$A:$G,MATCH(lookup_helper!H$1,import!$A$1:$G$1,0),FALSE)</f>
        <v>0</v>
      </c>
      <c r="I41">
        <f>VLOOKUP($A41,import!$A:$G,MATCH(lookup_helper!I$1,import!$A$1:$G$1,0),FALSE)</f>
        <v>0</v>
      </c>
      <c r="J41" t="s">
        <v>173</v>
      </c>
    </row>
    <row r="42" spans="1:10" x14ac:dyDescent="0.25">
      <c r="A42" t="s">
        <v>61</v>
      </c>
      <c r="B42" s="28" t="s">
        <v>166</v>
      </c>
      <c r="C42" t="s">
        <v>211</v>
      </c>
      <c r="D42" s="3">
        <f>VLOOKUP($A42,import!$A:$G,MATCH(lookup_helper!D$1,import!$A$1:$G$1,0),FALSE)</f>
        <v>1.0947187607200981</v>
      </c>
      <c r="E42" s="3">
        <f>VLOOKUP($A42,import!$A:$G,MATCH(lookup_helper!E$1,import!$A$1:$G$1,0),FALSE)</f>
        <v>0</v>
      </c>
      <c r="F42">
        <f>VLOOKUP($A42,import!$A:$G,MATCH(lookup_helper!F$1,import!$A$1:$G$1,0),FALSE)</f>
        <v>0</v>
      </c>
      <c r="G42">
        <f>VLOOKUP($A42,import!$A:$G,MATCH(lookup_helper!G$1,import!$A$1:$G$1,0),FALSE)</f>
        <v>0</v>
      </c>
      <c r="H42">
        <f>VLOOKUP($A42,import!$A:$G,MATCH(lookup_helper!H$1,import!$A$1:$G$1,0),FALSE)</f>
        <v>0</v>
      </c>
      <c r="I42">
        <f>VLOOKUP($A42,import!$A:$G,MATCH(lookup_helper!I$1,import!$A$1:$G$1,0),FALSE)</f>
        <v>0</v>
      </c>
      <c r="J42" t="s">
        <v>173</v>
      </c>
    </row>
    <row r="43" spans="1:10" x14ac:dyDescent="0.25">
      <c r="A43" s="3" t="s">
        <v>7</v>
      </c>
      <c r="B43" s="28" t="s">
        <v>135</v>
      </c>
      <c r="C43" t="s">
        <v>204</v>
      </c>
      <c r="D43" s="2">
        <f>VLOOKUP($A43,import!$A:$G,MATCH(lookup_helper!D$1,import!$A$1:$G$1,0),FALSE)</f>
        <v>1013.770763052209</v>
      </c>
      <c r="E43" s="2">
        <f>VLOOKUP($A43,import!$A:$G,MATCH(lookup_helper!E$1,import!$A$1:$G$1,0),FALSE)</f>
        <v>0</v>
      </c>
      <c r="F43" s="2">
        <f>VLOOKUP($A43,import!$A:$G,MATCH(lookup_helper!F$1,import!$A$1:$G$1,0),FALSE)</f>
        <v>1364.000856776242</v>
      </c>
      <c r="G43" s="2">
        <f>VLOOKUP($A43,import!$A:$G,MATCH(lookup_helper!G$1,import!$A$1:$G$1,0),FALSE)</f>
        <v>3842.410877719361</v>
      </c>
      <c r="H43">
        <f>VLOOKUP($A43,import!$A:$G,MATCH(lookup_helper!H$1,import!$A$1:$G$1,0),FALSE)</f>
        <v>0</v>
      </c>
      <c r="I43">
        <f>VLOOKUP($A43,import!$A:$G,MATCH(lookup_helper!I$1,import!$A$1:$G$1,0),FALSE)</f>
        <v>0</v>
      </c>
    </row>
    <row r="44" spans="1:10" x14ac:dyDescent="0.25">
      <c r="A44" s="3" t="s">
        <v>8</v>
      </c>
      <c r="B44" s="28" t="s">
        <v>136</v>
      </c>
      <c r="C44" t="s">
        <v>204</v>
      </c>
      <c r="D44" s="2">
        <f>VLOOKUP($A44,import!$A:$G,MATCH(lookup_helper!D$1,import!$A$1:$G$1,0),FALSE)</f>
        <v>2709.1952208835341</v>
      </c>
      <c r="E44" s="2">
        <f>VLOOKUP($A44,import!$A:$G,MATCH(lookup_helper!E$1,import!$A$1:$G$1,0),FALSE)</f>
        <v>0</v>
      </c>
      <c r="F44" s="2">
        <f>VLOOKUP($A44,import!$A:$G,MATCH(lookup_helper!F$1,import!$A$1:$G$1,0),FALSE)</f>
        <v>7127.5982283250496</v>
      </c>
      <c r="G44" s="2">
        <f>VLOOKUP($A44,import!$A:$G,MATCH(lookup_helper!G$1,import!$A$1:$G$1,0),FALSE)</f>
        <v>37354.023709342597</v>
      </c>
      <c r="H44">
        <f>VLOOKUP($A44,import!$A:$G,MATCH(lookup_helper!H$1,import!$A$1:$G$1,0),FALSE)</f>
        <v>0</v>
      </c>
      <c r="I44">
        <f>VLOOKUP($A44,import!$A:$G,MATCH(lookup_helper!I$1,import!$A$1:$G$1,0),FALSE)</f>
        <v>0</v>
      </c>
    </row>
    <row r="45" spans="1:10" x14ac:dyDescent="0.25">
      <c r="A45" s="3" t="s">
        <v>9</v>
      </c>
      <c r="B45" s="28" t="s">
        <v>137</v>
      </c>
      <c r="C45" t="s">
        <v>204</v>
      </c>
      <c r="D45" s="2">
        <f>VLOOKUP($A45,import!$A:$G,MATCH(lookup_helper!D$1,import!$A$1:$G$1,0),FALSE)</f>
        <v>45512.183253012037</v>
      </c>
      <c r="E45" s="2">
        <f>VLOOKUP($A45,import!$A:$G,MATCH(lookup_helper!E$1,import!$A$1:$G$1,0),FALSE)</f>
        <v>0</v>
      </c>
      <c r="F45" s="2">
        <f>VLOOKUP($A45,import!$A:$G,MATCH(lookup_helper!F$1,import!$A$1:$G$1,0),FALSE)</f>
        <v>115470.05312773889</v>
      </c>
      <c r="G45" s="2">
        <f>VLOOKUP($A45,import!$A:$G,MATCH(lookup_helper!G$1,import!$A$1:$G$1,0),FALSE)</f>
        <v>475047.24569611409</v>
      </c>
      <c r="H45">
        <f>VLOOKUP($A45,import!$A:$G,MATCH(lookup_helper!H$1,import!$A$1:$G$1,0),FALSE)</f>
        <v>0</v>
      </c>
      <c r="I45">
        <f>VLOOKUP($A45,import!$A:$G,MATCH(lookup_helper!I$1,import!$A$1:$G$1,0),FALSE)</f>
        <v>0</v>
      </c>
    </row>
    <row r="46" spans="1:10" x14ac:dyDescent="0.25">
      <c r="A46" s="3" t="s">
        <v>10</v>
      </c>
      <c r="B46" s="28" t="s">
        <v>138</v>
      </c>
      <c r="C46" t="s">
        <v>204</v>
      </c>
      <c r="D46" s="2">
        <f>VLOOKUP($A46,import!$A:$G,MATCH(lookup_helper!D$1,import!$A$1:$G$1,0),FALSE)</f>
        <v>6491.7790361445777</v>
      </c>
      <c r="E46" s="2">
        <f>VLOOKUP($A46,import!$A:$G,MATCH(lookup_helper!E$1,import!$A$1:$G$1,0),FALSE)</f>
        <v>0</v>
      </c>
      <c r="F46" s="2">
        <f>VLOOKUP($A46,import!$A:$G,MATCH(lookup_helper!F$1,import!$A$1:$G$1,0),FALSE)</f>
        <v>3942.7378655082048</v>
      </c>
      <c r="G46" s="2">
        <f>VLOOKUP($A46,import!$A:$G,MATCH(lookup_helper!G$1,import!$A$1:$G$1,0),FALSE)</f>
        <v>22213.193547074628</v>
      </c>
      <c r="H46">
        <f>VLOOKUP($A46,import!$A:$G,MATCH(lookup_helper!H$1,import!$A$1:$G$1,0),FALSE)</f>
        <v>0</v>
      </c>
      <c r="I46">
        <f>VLOOKUP($A46,import!$A:$G,MATCH(lookup_helper!I$1,import!$A$1:$G$1,0),FALSE)</f>
        <v>0</v>
      </c>
    </row>
    <row r="47" spans="1:10" x14ac:dyDescent="0.25">
      <c r="A47" s="3" t="s">
        <v>11</v>
      </c>
      <c r="B47" s="28" t="s">
        <v>139</v>
      </c>
      <c r="C47" t="s">
        <v>204</v>
      </c>
      <c r="D47" s="2">
        <f>VLOOKUP($A47,import!$A:$G,MATCH(lookup_helper!D$1,import!$A$1:$G$1,0),FALSE)</f>
        <v>1.2211646586345379</v>
      </c>
      <c r="E47" s="2">
        <f>VLOOKUP($A47,import!$A:$G,MATCH(lookup_helper!E$1,import!$A$1:$G$1,0),FALSE)</f>
        <v>0</v>
      </c>
      <c r="F47" s="2">
        <f>VLOOKUP($A47,import!$A:$G,MATCH(lookup_helper!F$1,import!$A$1:$G$1,0),FALSE)</f>
        <v>2.8359657898456958</v>
      </c>
      <c r="G47" s="2">
        <f>VLOOKUP($A47,import!$A:$G,MATCH(lookup_helper!G$1,import!$A$1:$G$1,0),FALSE)</f>
        <v>4.6382414187566914</v>
      </c>
      <c r="H47">
        <f>VLOOKUP($A47,import!$A:$G,MATCH(lookup_helper!H$1,import!$A$1:$G$1,0),FALSE)</f>
        <v>0</v>
      </c>
      <c r="I47">
        <f>VLOOKUP($A47,import!$A:$G,MATCH(lookup_helper!I$1,import!$A$1:$G$1,0),FALSE)</f>
        <v>0</v>
      </c>
    </row>
    <row r="48" spans="1:10" x14ac:dyDescent="0.25">
      <c r="A48" s="3" t="s">
        <v>12</v>
      </c>
      <c r="B48" s="28" t="s">
        <v>140</v>
      </c>
      <c r="C48" t="s">
        <v>204</v>
      </c>
      <c r="D48" s="2">
        <f>VLOOKUP($A48,import!$A:$G,MATCH(lookup_helper!D$1,import!$A$1:$G$1,0),FALSE)</f>
        <v>5.2928514056224891</v>
      </c>
      <c r="E48" s="2">
        <f>VLOOKUP($A48,import!$A:$G,MATCH(lookup_helper!E$1,import!$A$1:$G$1,0),FALSE)</f>
        <v>0</v>
      </c>
      <c r="F48" s="2">
        <f>VLOOKUP($A48,import!$A:$G,MATCH(lookup_helper!F$1,import!$A$1:$G$1,0),FALSE)</f>
        <v>11.725412674938291</v>
      </c>
      <c r="G48" s="2">
        <f>VLOOKUP($A48,import!$A:$G,MATCH(lookup_helper!G$1,import!$A$1:$G$1,0),FALSE)</f>
        <v>38.186082797940898</v>
      </c>
      <c r="H48">
        <f>VLOOKUP($A48,import!$A:$G,MATCH(lookup_helper!H$1,import!$A$1:$G$1,0),FALSE)</f>
        <v>0</v>
      </c>
      <c r="I48">
        <f>VLOOKUP($A48,import!$A:$G,MATCH(lookup_helper!I$1,import!$A$1:$G$1,0),FALSE)</f>
        <v>0</v>
      </c>
    </row>
    <row r="49" spans="1:9" x14ac:dyDescent="0.25">
      <c r="A49" s="3" t="s">
        <v>13</v>
      </c>
      <c r="B49" s="28" t="s">
        <v>141</v>
      </c>
      <c r="C49" t="s">
        <v>204</v>
      </c>
      <c r="D49" s="2">
        <f>VLOOKUP($A49,import!$A:$G,MATCH(lookup_helper!D$1,import!$A$1:$G$1,0),FALSE)</f>
        <v>94.170281124498004</v>
      </c>
      <c r="E49" s="2">
        <f>VLOOKUP($A49,import!$A:$G,MATCH(lookup_helper!E$1,import!$A$1:$G$1,0),FALSE)</f>
        <v>0</v>
      </c>
      <c r="F49" s="2">
        <f>VLOOKUP($A49,import!$A:$G,MATCH(lookup_helper!F$1,import!$A$1:$G$1,0),FALSE)</f>
        <v>163.7723231043594</v>
      </c>
      <c r="G49" s="2">
        <f>VLOOKUP($A49,import!$A:$G,MATCH(lookup_helper!G$1,import!$A$1:$G$1,0),FALSE)</f>
        <v>492.55290133648589</v>
      </c>
      <c r="H49">
        <f>VLOOKUP($A49,import!$A:$G,MATCH(lookup_helper!H$1,import!$A$1:$G$1,0),FALSE)</f>
        <v>0</v>
      </c>
      <c r="I49">
        <f>VLOOKUP($A49,import!$A:$G,MATCH(lookup_helper!I$1,import!$A$1:$G$1,0),FALSE)</f>
        <v>0</v>
      </c>
    </row>
    <row r="50" spans="1:9" x14ac:dyDescent="0.25">
      <c r="A50" s="3" t="s">
        <v>14</v>
      </c>
      <c r="B50" s="28" t="s">
        <v>142</v>
      </c>
      <c r="C50" t="s">
        <v>204</v>
      </c>
      <c r="D50" s="2">
        <f>VLOOKUP($A50,import!$A:$G,MATCH(lookup_helper!D$1,import!$A$1:$G$1,0),FALSE)</f>
        <v>10.89180722891566</v>
      </c>
      <c r="E50" s="2">
        <f>VLOOKUP($A50,import!$A:$G,MATCH(lookup_helper!E$1,import!$A$1:$G$1,0),FALSE)</f>
        <v>0</v>
      </c>
      <c r="F50" s="2">
        <f>VLOOKUP($A50,import!$A:$G,MATCH(lookup_helper!F$1,import!$A$1:$G$1,0),FALSE)</f>
        <v>6.3673234849555804</v>
      </c>
      <c r="G50" s="2">
        <f>VLOOKUP($A50,import!$A:$G,MATCH(lookup_helper!G$1,import!$A$1:$G$1,0),FALSE)</f>
        <v>19.46065842045931</v>
      </c>
      <c r="H50">
        <f>VLOOKUP($A50,import!$A:$G,MATCH(lookup_helper!H$1,import!$A$1:$G$1,0),FALSE)</f>
        <v>0</v>
      </c>
      <c r="I50">
        <f>VLOOKUP($A50,import!$A:$G,MATCH(lookup_helper!I$1,import!$A$1:$G$1,0),FALSE)</f>
        <v>0</v>
      </c>
    </row>
    <row r="51" spans="1:9" x14ac:dyDescent="0.25">
      <c r="A51" s="3" t="s">
        <v>15</v>
      </c>
      <c r="B51" s="28" t="s">
        <v>143</v>
      </c>
      <c r="C51" t="s">
        <v>204</v>
      </c>
      <c r="D51" s="2">
        <f>VLOOKUP($A51,import!$A:$G,MATCH(lookup_helper!D$1,import!$A$1:$G$1,0),FALSE)</f>
        <v>7.5514457831325306</v>
      </c>
      <c r="E51" s="2">
        <f>VLOOKUP($A51,import!$A:$G,MATCH(lookup_helper!E$1,import!$A$1:$G$1,0),FALSE)</f>
        <v>0</v>
      </c>
      <c r="F51" s="2">
        <f>VLOOKUP($A51,import!$A:$G,MATCH(lookup_helper!F$1,import!$A$1:$G$1,0),FALSE)</f>
        <v>9.6835892389165004</v>
      </c>
      <c r="G51" s="2">
        <f>VLOOKUP($A51,import!$A:$G,MATCH(lookup_helper!G$1,import!$A$1:$G$1,0),FALSE)</f>
        <v>17.147198276435411</v>
      </c>
      <c r="H51">
        <f>VLOOKUP($A51,import!$A:$G,MATCH(lookup_helper!H$1,import!$A$1:$G$1,0),FALSE)</f>
        <v>0</v>
      </c>
      <c r="I51">
        <f>VLOOKUP($A51,import!$A:$G,MATCH(lookup_helper!I$1,import!$A$1:$G$1,0),FALSE)</f>
        <v>0</v>
      </c>
    </row>
    <row r="52" spans="1:9" x14ac:dyDescent="0.25">
      <c r="A52" s="3" t="s">
        <v>16</v>
      </c>
      <c r="B52" s="28" t="s">
        <v>144</v>
      </c>
      <c r="C52" t="s">
        <v>204</v>
      </c>
      <c r="D52" s="2">
        <f>VLOOKUP($A52,import!$A:$G,MATCH(lookup_helper!D$1,import!$A$1:$G$1,0),FALSE)</f>
        <v>19.925100401606429</v>
      </c>
      <c r="E52" s="2">
        <f>VLOOKUP($A52,import!$A:$G,MATCH(lookup_helper!E$1,import!$A$1:$G$1,0),FALSE)</f>
        <v>0</v>
      </c>
      <c r="F52" s="2">
        <f>VLOOKUP($A52,import!$A:$G,MATCH(lookup_helper!F$1,import!$A$1:$G$1,0),FALSE)</f>
        <v>43.011998510238037</v>
      </c>
      <c r="G52" s="2">
        <f>VLOOKUP($A52,import!$A:$G,MATCH(lookup_helper!G$1,import!$A$1:$G$1,0),FALSE)</f>
        <v>140.10012353515299</v>
      </c>
      <c r="H52">
        <f>VLOOKUP($A52,import!$A:$G,MATCH(lookup_helper!H$1,import!$A$1:$G$1,0),FALSE)</f>
        <v>0</v>
      </c>
      <c r="I52">
        <f>VLOOKUP($A52,import!$A:$G,MATCH(lookup_helper!I$1,import!$A$1:$G$1,0),FALSE)</f>
        <v>0</v>
      </c>
    </row>
    <row r="53" spans="1:9" x14ac:dyDescent="0.25">
      <c r="A53" s="3" t="s">
        <v>17</v>
      </c>
      <c r="B53" s="28" t="s">
        <v>145</v>
      </c>
      <c r="C53" t="s">
        <v>204</v>
      </c>
      <c r="D53" s="2">
        <f>VLOOKUP($A53,import!$A:$G,MATCH(lookup_helper!D$1,import!$A$1:$G$1,0),FALSE)</f>
        <v>238.27309236947789</v>
      </c>
      <c r="E53" s="2">
        <f>VLOOKUP($A53,import!$A:$G,MATCH(lookup_helper!E$1,import!$A$1:$G$1,0),FALSE)</f>
        <v>0</v>
      </c>
      <c r="F53" s="2">
        <f>VLOOKUP($A53,import!$A:$G,MATCH(lookup_helper!F$1,import!$A$1:$G$1,0),FALSE)</f>
        <v>144.64461021519989</v>
      </c>
      <c r="G53" s="2">
        <f>VLOOKUP($A53,import!$A:$G,MATCH(lookup_helper!G$1,import!$A$1:$G$1,0),FALSE)</f>
        <v>520.32769799543757</v>
      </c>
      <c r="H53">
        <f>VLOOKUP($A53,import!$A:$G,MATCH(lookup_helper!H$1,import!$A$1:$G$1,0),FALSE)</f>
        <v>0</v>
      </c>
      <c r="I53">
        <f>VLOOKUP($A53,import!$A:$G,MATCH(lookup_helper!I$1,import!$A$1:$G$1,0),FALSE)</f>
        <v>0</v>
      </c>
    </row>
    <row r="54" spans="1:9" x14ac:dyDescent="0.25">
      <c r="A54" s="3" t="s">
        <v>18</v>
      </c>
      <c r="B54" s="28" t="s">
        <v>146</v>
      </c>
      <c r="C54" t="s">
        <v>204</v>
      </c>
      <c r="D54" s="2">
        <f>VLOOKUP($A54,import!$A:$G,MATCH(lookup_helper!D$1,import!$A$1:$G$1,0),FALSE)</f>
        <v>51.080883534136547</v>
      </c>
      <c r="E54" s="2">
        <f>VLOOKUP($A54,import!$A:$G,MATCH(lookup_helper!E$1,import!$A$1:$G$1,0),FALSE)</f>
        <v>0</v>
      </c>
      <c r="F54" s="2">
        <f>VLOOKUP($A54,import!$A:$G,MATCH(lookup_helper!F$1,import!$A$1:$G$1,0),FALSE)</f>
        <v>25.241365850741079</v>
      </c>
      <c r="G54" s="2">
        <f>VLOOKUP($A54,import!$A:$G,MATCH(lookup_helper!G$1,import!$A$1:$G$1,0),FALSE)</f>
        <v>77.938922900995635</v>
      </c>
      <c r="H54">
        <f>VLOOKUP($A54,import!$A:$G,MATCH(lookup_helper!H$1,import!$A$1:$G$1,0),FALSE)</f>
        <v>0</v>
      </c>
      <c r="I54">
        <f>VLOOKUP($A54,import!$A:$G,MATCH(lookup_helper!I$1,import!$A$1:$G$1,0),FALSE)</f>
        <v>0</v>
      </c>
    </row>
    <row r="55" spans="1:9" x14ac:dyDescent="0.25">
      <c r="A55" t="s">
        <v>90</v>
      </c>
      <c r="B55" s="28" t="s">
        <v>186</v>
      </c>
      <c r="C55" t="s">
        <v>204</v>
      </c>
      <c r="D55">
        <f>VLOOKUP($A55,import!$A:$G,MATCH(lookup_helper!D$1,import!$A$1:$G$1,0),FALSE)</f>
        <v>657</v>
      </c>
      <c r="E55">
        <f>VLOOKUP($A55,import!$A:$G,MATCH(lookup_helper!E$1,import!$A$1:$G$1,0),FALSE)</f>
        <v>796</v>
      </c>
      <c r="F55">
        <f>VLOOKUP($A55,import!$A:$G,MATCH(lookup_helper!F$1,import!$A$1:$G$1,0),FALSE)</f>
        <v>0</v>
      </c>
      <c r="G55">
        <f>VLOOKUP($A55,import!$A:$G,MATCH(lookup_helper!G$1,import!$A$1:$G$1,0),FALSE)</f>
        <v>0</v>
      </c>
      <c r="H55">
        <f>VLOOKUP($A55,import!$A:$G,MATCH(lookup_helper!H$1,import!$A$1:$G$1,0),FALSE)</f>
        <v>0</v>
      </c>
      <c r="I55">
        <f>VLOOKUP($A55,import!$A:$G,MATCH(lookup_helper!I$1,import!$A$1:$G$1,0),FALSE)</f>
        <v>0</v>
      </c>
    </row>
    <row r="56" spans="1:9" ht="30" x14ac:dyDescent="0.25">
      <c r="A56" t="s">
        <v>28</v>
      </c>
      <c r="B56" s="28" t="s">
        <v>156</v>
      </c>
      <c r="C56" t="s">
        <v>207</v>
      </c>
      <c r="D56">
        <f>VLOOKUP($A56,import!$A:$G,MATCH(lookup_helper!D$1,import!$A$1:$G$1,0),FALSE)</f>
        <v>1</v>
      </c>
      <c r="E56">
        <f>VLOOKUP($A56,import!$A:$G,MATCH(lookup_helper!E$1,import!$A$1:$G$1,0),FALSE)</f>
        <v>0</v>
      </c>
      <c r="F56">
        <f>VLOOKUP($A56,import!$A:$G,MATCH(lookup_helper!F$1,import!$A$1:$G$1,0),FALSE)</f>
        <v>0</v>
      </c>
      <c r="G56">
        <f>VLOOKUP($A56,import!$A:$G,MATCH(lookup_helper!G$1,import!$A$1:$G$1,0),FALSE)</f>
        <v>0</v>
      </c>
      <c r="H56">
        <f>VLOOKUP($A56,import!$A:$G,MATCH(lookup_helper!H$1,import!$A$1:$G$1,0),FALSE)</f>
        <v>0</v>
      </c>
      <c r="I56">
        <f>VLOOKUP($A56,import!$A:$G,MATCH(lookup_helper!I$1,import!$A$1:$G$1,0),FALSE)</f>
        <v>0</v>
      </c>
    </row>
    <row r="57" spans="1:9" x14ac:dyDescent="0.25">
      <c r="A57" t="s">
        <v>29</v>
      </c>
      <c r="B57" s="28" t="s">
        <v>157</v>
      </c>
      <c r="C57" t="s">
        <v>207</v>
      </c>
      <c r="D57" s="1">
        <f>VLOOKUP($A57,import!$A:$G,MATCH(lookup_helper!D$1,import!$A$1:$G$1,0),FALSE)/100</f>
        <v>7.8499999999999986E-2</v>
      </c>
      <c r="E57">
        <f>VLOOKUP($A57,import!$A:$G,MATCH(lookup_helper!E$1,import!$A$1:$G$1,0),FALSE)</f>
        <v>0</v>
      </c>
      <c r="F57">
        <f>VLOOKUP($A57,import!$A:$G,MATCH(lookup_helper!F$1,import!$A$1:$G$1,0),FALSE)</f>
        <v>0</v>
      </c>
      <c r="G57">
        <f>VLOOKUP($A57,import!$A:$G,MATCH(lookup_helper!G$1,import!$A$1:$G$1,0),FALSE)</f>
        <v>0</v>
      </c>
      <c r="H57">
        <f>VLOOKUP($A57,import!$A:$G,MATCH(lookup_helper!H$1,import!$A$1:$G$1,0),FALSE)</f>
        <v>0</v>
      </c>
      <c r="I57">
        <f>VLOOKUP($A57,import!$A:$G,MATCH(lookup_helper!I$1,import!$A$1:$G$1,0),FALSE)</f>
        <v>0</v>
      </c>
    </row>
    <row r="58" spans="1:9" x14ac:dyDescent="0.25">
      <c r="A58" t="s">
        <v>91</v>
      </c>
      <c r="B58" s="28" t="s">
        <v>184</v>
      </c>
      <c r="C58" t="s">
        <v>207</v>
      </c>
      <c r="D58" s="2">
        <f>VLOOKUP($A58,import!$A:$G,MATCH(lookup_helper!D$1,import!$A$1:$G$1,0),FALSE)</f>
        <v>125.11</v>
      </c>
      <c r="E58" s="2">
        <f>VLOOKUP($A58,import!$A:$G,MATCH(lookup_helper!E$1,import!$A$1:$G$1,0),FALSE)</f>
        <v>134.03</v>
      </c>
      <c r="F58">
        <f>VLOOKUP($A58,import!$A:$G,MATCH(lookup_helper!F$1,import!$A$1:$G$1,0),FALSE)</f>
        <v>0</v>
      </c>
      <c r="G58">
        <f>VLOOKUP($A58,import!$A:$G,MATCH(lookup_helper!G$1,import!$A$1:$G$1,0),FALSE)</f>
        <v>0</v>
      </c>
      <c r="H58">
        <f>VLOOKUP($A58,import!$A:$G,MATCH(lookup_helper!H$1,import!$A$1:$G$1,0),FALSE)</f>
        <v>0</v>
      </c>
      <c r="I58">
        <f>VLOOKUP($A58,import!$A:$G,MATCH(lookup_helper!I$1,import!$A$1:$G$1,0),FALSE)</f>
        <v>0</v>
      </c>
    </row>
    <row r="59" spans="1:9" x14ac:dyDescent="0.25">
      <c r="A59" t="s">
        <v>98</v>
      </c>
      <c r="B59" s="28" t="s">
        <v>193</v>
      </c>
      <c r="C59" t="s">
        <v>207</v>
      </c>
      <c r="D59" s="1">
        <f>VLOOKUP($A59,import!$A:$G,MATCH(lookup_helper!D$1,import!$A$1:$G$1,0),FALSE)</f>
        <v>7.072357263990954E-2</v>
      </c>
      <c r="E59" s="1">
        <f>VLOOKUP($A59,import!$A:$G,MATCH(lookup_helper!E$1,import!$A$1:$G$1,0),FALSE)</f>
        <v>4.853240442342649E-2</v>
      </c>
      <c r="F59" s="1">
        <f>VLOOKUP($A59,import!$A:$G,MATCH(lookup_helper!F$1,import!$A$1:$G$1,0),FALSE)</f>
        <v>0.1343871705182399</v>
      </c>
      <c r="G59" s="1">
        <f>VLOOKUP($A59,import!$A:$G,MATCH(lookup_helper!G$1,import!$A$1:$G$1,0),FALSE)</f>
        <v>0.13021497769289109</v>
      </c>
      <c r="H59">
        <f>VLOOKUP($A59,import!$A:$G,MATCH(lookup_helper!H$1,import!$A$1:$G$1,0),FALSE)</f>
        <v>0</v>
      </c>
      <c r="I59">
        <f>VLOOKUP($A59,import!$A:$G,MATCH(lookup_helper!I$1,import!$A$1:$G$1,0),FALSE)</f>
        <v>0</v>
      </c>
    </row>
    <row r="60" spans="1:9" x14ac:dyDescent="0.25">
      <c r="A60" t="s">
        <v>33</v>
      </c>
      <c r="B60" s="28" t="s">
        <v>237</v>
      </c>
      <c r="C60" t="s">
        <v>210</v>
      </c>
      <c r="D60">
        <f>VLOOKUP($A60,import!$A:$G,MATCH(lookup_helper!D$1,import!$A$1:$G$1,0),FALSE)</f>
        <v>0.1021114271418558</v>
      </c>
      <c r="E60">
        <f>VLOOKUP($A60,import!$A:$G,MATCH(lookup_helper!E$1,import!$A$1:$G$1,0),FALSE)</f>
        <v>0</v>
      </c>
      <c r="F60">
        <f>VLOOKUP($A60,import!$A:$G,MATCH(lookup_helper!F$1,import!$A$1:$G$1,0),FALSE)</f>
        <v>5.8844134774233253E-2</v>
      </c>
      <c r="G60">
        <f>VLOOKUP($A60,import!$A:$G,MATCH(lookup_helper!G$1,import!$A$1:$G$1,0),FALSE)</f>
        <v>1.480071598380431E-2</v>
      </c>
      <c r="H60">
        <f>VLOOKUP($A60,import!$A:$G,MATCH(lookup_helper!H$1,import!$A$1:$G$1,0),FALSE)</f>
        <v>0</v>
      </c>
      <c r="I60">
        <f>VLOOKUP($A60,import!$A:$G,MATCH(lookup_helper!I$1,import!$A$1:$G$1,0),FALSE)</f>
        <v>0</v>
      </c>
    </row>
    <row r="61" spans="1:9" x14ac:dyDescent="0.25">
      <c r="A61" s="2" t="s">
        <v>62</v>
      </c>
      <c r="B61" s="28" t="s">
        <v>175</v>
      </c>
      <c r="C61" t="s">
        <v>210</v>
      </c>
      <c r="D61">
        <f>VLOOKUP($A61,import!$A:$G,MATCH(lookup_helper!D$1,import!$A$1:$G$1,0),FALSE)</f>
        <v>1.872619731652339</v>
      </c>
      <c r="E61">
        <f>VLOOKUP($A61,import!$A:$G,MATCH(lookup_helper!E$1,import!$A$1:$G$1,0),FALSE)</f>
        <v>0</v>
      </c>
      <c r="F61">
        <f>VLOOKUP($A61,import!$A:$G,MATCH(lookup_helper!F$1,import!$A$1:$G$1,0),FALSE)</f>
        <v>7.4149284958128156E-2</v>
      </c>
      <c r="G61">
        <f>VLOOKUP($A61,import!$A:$G,MATCH(lookup_helper!G$1,import!$A$1:$G$1,0),FALSE)</f>
        <v>7.332683167880813E-2</v>
      </c>
      <c r="H61">
        <f>VLOOKUP($A61,import!$A:$G,MATCH(lookup_helper!H$1,import!$A$1:$G$1,0),FALSE)</f>
        <v>0</v>
      </c>
      <c r="I61">
        <f>VLOOKUP($A61,import!$A:$G,MATCH(lookup_helper!I$1,import!$A$1:$G$1,0),FALSE)</f>
        <v>0</v>
      </c>
    </row>
    <row r="62" spans="1:9" ht="30" x14ac:dyDescent="0.25">
      <c r="A62" s="2" t="s">
        <v>63</v>
      </c>
      <c r="B62" s="28" t="s">
        <v>236</v>
      </c>
      <c r="C62" t="s">
        <v>210</v>
      </c>
      <c r="D62">
        <f>VLOOKUP($A62,import!$A:$G,MATCH(lookup_helper!D$1,import!$A$1:$G$1,0),FALSE)</f>
        <v>0.33368336973414081</v>
      </c>
      <c r="E62">
        <f>VLOOKUP($A62,import!$A:$G,MATCH(lookup_helper!E$1,import!$A$1:$G$1,0),FALSE)</f>
        <v>0</v>
      </c>
      <c r="F62">
        <f>VLOOKUP($A62,import!$A:$G,MATCH(lookup_helper!F$1,import!$A$1:$G$1,0),FALSE)</f>
        <v>9.9496332560479198E-2</v>
      </c>
      <c r="G62">
        <f>VLOOKUP($A62,import!$A:$G,MATCH(lookup_helper!G$1,import!$A$1:$G$1,0),FALSE)</f>
        <v>0.1052465714535069</v>
      </c>
      <c r="H62">
        <f>VLOOKUP($A62,import!$A:$G,MATCH(lookup_helper!H$1,import!$A$1:$G$1,0),FALSE)</f>
        <v>0</v>
      </c>
      <c r="I62">
        <f>VLOOKUP($A62,import!$A:$G,MATCH(lookup_helper!I$1,import!$A$1:$G$1,0),FALSE)</f>
        <v>0</v>
      </c>
    </row>
    <row r="63" spans="1:9" x14ac:dyDescent="0.25">
      <c r="A63" t="s">
        <v>105</v>
      </c>
      <c r="B63" s="28" t="s">
        <v>195</v>
      </c>
      <c r="C63" t="s">
        <v>216</v>
      </c>
      <c r="D63">
        <f>VLOOKUP($A63,import!$A:$G,MATCH(lookup_helper!D$1,import!$A$1:$G$1,0),FALSE)</f>
        <v>13.047842643653521</v>
      </c>
      <c r="E63">
        <f>VLOOKUP($A63,import!$A:$G,MATCH(lookup_helper!E$1,import!$A$1:$G$1,0),FALSE)</f>
        <v>69.301955921047991</v>
      </c>
      <c r="F63">
        <f>VLOOKUP($A63,import!$A:$G,MATCH(lookup_helper!F$1,import!$A$1:$G$1,0),FALSE)</f>
        <v>0</v>
      </c>
      <c r="G63">
        <f>VLOOKUP($A63,import!$A:$G,MATCH(lookup_helper!G$1,import!$A$1:$G$1,0),FALSE)</f>
        <v>0</v>
      </c>
      <c r="H63">
        <f>VLOOKUP($A63,import!$A:$G,MATCH(lookup_helper!H$1,import!$A$1:$G$1,0),FALSE)</f>
        <v>0</v>
      </c>
      <c r="I63">
        <f>VLOOKUP($A63,import!$A:$G,MATCH(lookup_helper!I$1,import!$A$1:$G$1,0),FALSE)</f>
        <v>0</v>
      </c>
    </row>
    <row r="64" spans="1:9" x14ac:dyDescent="0.25">
      <c r="A64" t="s">
        <v>106</v>
      </c>
      <c r="B64" s="28" t="s">
        <v>196</v>
      </c>
      <c r="C64" t="s">
        <v>216</v>
      </c>
      <c r="D64">
        <f>VLOOKUP($A64,import!$A:$G,MATCH(lookup_helper!D$1,import!$A$1:$G$1,0),FALSE)</f>
        <v>1.3710956366053659</v>
      </c>
      <c r="E64">
        <f>VLOOKUP($A64,import!$A:$G,MATCH(lookup_helper!E$1,import!$A$1:$G$1,0),FALSE)</f>
        <v>1.3582230858271871</v>
      </c>
      <c r="F64">
        <f>VLOOKUP($A64,import!$A:$G,MATCH(lookup_helper!F$1,import!$A$1:$G$1,0),FALSE)</f>
        <v>0</v>
      </c>
      <c r="G64">
        <f>VLOOKUP($A64,import!$A:$G,MATCH(lookup_helper!G$1,import!$A$1:$G$1,0),FALSE)</f>
        <v>0</v>
      </c>
      <c r="H64">
        <f>VLOOKUP($A64,import!$A:$G,MATCH(lookup_helper!H$1,import!$A$1:$G$1,0),FALSE)</f>
        <v>0</v>
      </c>
      <c r="I64">
        <f>VLOOKUP($A64,import!$A:$G,MATCH(lookup_helper!I$1,import!$A$1:$G$1,0),FALSE)</f>
        <v>0</v>
      </c>
    </row>
    <row r="65" spans="1:9" s="77" customFormat="1" ht="30" x14ac:dyDescent="0.25">
      <c r="A65" s="77" t="s">
        <v>30</v>
      </c>
      <c r="B65" s="78" t="s">
        <v>158</v>
      </c>
      <c r="C65" s="77" t="s">
        <v>208</v>
      </c>
      <c r="D65" s="79">
        <f>VLOOKUP($A65,import!$A:$G,MATCH(lookup_helper!D$1,import!$A$1:$G$1,0),FALSE)</f>
        <v>1175.845221386116</v>
      </c>
      <c r="E65" s="79">
        <f>VLOOKUP($A65,import!$A:$G,MATCH(lookup_helper!E$1,import!$A$1:$G$1,0),FALSE)</f>
        <v>0</v>
      </c>
      <c r="F65" s="79">
        <f>VLOOKUP($A65,import!$A:$G,MATCH(lookup_helper!F$1,import!$A$1:$G$1,0),FALSE)</f>
        <v>0</v>
      </c>
      <c r="G65" s="79">
        <f>VLOOKUP($A65,import!$A:$G,MATCH(lookup_helper!G$1,import!$A$1:$G$1,0),FALSE)</f>
        <v>0</v>
      </c>
      <c r="H65" s="77">
        <f>VLOOKUP($A65,import!$A:$G,MATCH(lookup_helper!H$1,import!$A$1:$G$1,0),FALSE)</f>
        <v>0</v>
      </c>
      <c r="I65" s="77">
        <f>VLOOKUP($A65,import!$A:$G,MATCH(lookup_helper!I$1,import!$A$1:$G$1,0),FALSE)</f>
        <v>0</v>
      </c>
    </row>
    <row r="66" spans="1:9" x14ac:dyDescent="0.25">
      <c r="A66" t="s">
        <v>34</v>
      </c>
      <c r="B66" s="28" t="s">
        <v>161</v>
      </c>
      <c r="C66" t="s">
        <v>208</v>
      </c>
      <c r="D66" s="2">
        <f>VLOOKUP($A66,import!$A:$G,MATCH(lookup_helper!D$1,import!$A$1:$G$1,0),FALSE)</f>
        <v>0</v>
      </c>
      <c r="E66" s="2">
        <f>VLOOKUP($A66,import!$A:$G,MATCH(lookup_helper!E$1,import!$A$1:$G$1,0),FALSE)</f>
        <v>0</v>
      </c>
      <c r="F66">
        <f>VLOOKUP($A66,import!$A:$G,MATCH(lookup_helper!F$1,import!$A$1:$G$1,0),FALSE)</f>
        <v>0</v>
      </c>
      <c r="G66">
        <f>VLOOKUP($A66,import!$A:$G,MATCH(lookup_helper!G$1,import!$A$1:$G$1,0),FALSE)</f>
        <v>0</v>
      </c>
      <c r="H66">
        <f>VLOOKUP($A66,import!$A:$G,MATCH(lookup_helper!H$1,import!$A$1:$G$1,0),FALSE)</f>
        <v>0</v>
      </c>
      <c r="I66">
        <f>VLOOKUP($A66,import!$A:$G,MATCH(lookup_helper!I$1,import!$A$1:$G$1,0),FALSE)</f>
        <v>0</v>
      </c>
    </row>
    <row r="67" spans="1:9" x14ac:dyDescent="0.25">
      <c r="A67" t="s">
        <v>41</v>
      </c>
      <c r="B67" s="28" t="s">
        <v>161</v>
      </c>
      <c r="C67" t="s">
        <v>208</v>
      </c>
      <c r="D67" s="2">
        <f>VLOOKUP($A67,import!$A:$G,MATCH(lookup_helper!D$1,import!$A$1:$G$1,0),FALSE)</f>
        <v>0</v>
      </c>
      <c r="E67" s="2">
        <f>VLOOKUP($A67,import!$A:$G,MATCH(lookup_helper!E$1,import!$A$1:$G$1,0),FALSE)</f>
        <v>0</v>
      </c>
      <c r="F67">
        <f>VLOOKUP($A67,import!$A:$G,MATCH(lookup_helper!F$1,import!$A$1:$G$1,0),FALSE)</f>
        <v>0</v>
      </c>
      <c r="G67">
        <f>VLOOKUP($A67,import!$A:$G,MATCH(lookup_helper!G$1,import!$A$1:$G$1,0),FALSE)</f>
        <v>0</v>
      </c>
      <c r="H67">
        <f>VLOOKUP($A67,import!$A:$G,MATCH(lookup_helper!H$1,import!$A$1:$G$1,0),FALSE)</f>
        <v>0</v>
      </c>
      <c r="I67">
        <f>VLOOKUP($A67,import!$A:$G,MATCH(lookup_helper!I$1,import!$A$1:$G$1,0),FALSE)</f>
        <v>0</v>
      </c>
    </row>
    <row r="68" spans="1:9" x14ac:dyDescent="0.25">
      <c r="A68" t="s">
        <v>48</v>
      </c>
      <c r="B68" s="28" t="s">
        <v>161</v>
      </c>
      <c r="C68" t="s">
        <v>208</v>
      </c>
      <c r="D68" s="2">
        <f>VLOOKUP($A68,import!$A:$G,MATCH(lookup_helper!D$1,import!$A$1:$G$1,0),FALSE)</f>
        <v>7460.2525126650989</v>
      </c>
      <c r="E68" s="2">
        <f>VLOOKUP($A68,import!$A:$G,MATCH(lookup_helper!E$1,import!$A$1:$G$1,0),FALSE)</f>
        <v>0</v>
      </c>
      <c r="F68">
        <f>VLOOKUP($A68,import!$A:$G,MATCH(lookup_helper!F$1,import!$A$1:$G$1,0),FALSE)</f>
        <v>0</v>
      </c>
      <c r="G68">
        <f>VLOOKUP($A68,import!$A:$G,MATCH(lookup_helper!G$1,import!$A$1:$G$1,0),FALSE)</f>
        <v>0</v>
      </c>
      <c r="H68">
        <f>VLOOKUP($A68,import!$A:$G,MATCH(lookup_helper!H$1,import!$A$1:$G$1,0),FALSE)</f>
        <v>0</v>
      </c>
      <c r="I68">
        <f>VLOOKUP($A68,import!$A:$G,MATCH(lookup_helper!I$1,import!$A$1:$G$1,0),FALSE)</f>
        <v>0</v>
      </c>
    </row>
    <row r="69" spans="1:9" x14ac:dyDescent="0.25">
      <c r="A69" t="s">
        <v>55</v>
      </c>
      <c r="B69" s="28" t="s">
        <v>161</v>
      </c>
      <c r="C69" t="s">
        <v>208</v>
      </c>
      <c r="D69" s="2">
        <f>VLOOKUP($A69,import!$A:$G,MATCH(lookup_helper!D$1,import!$A$1:$G$1,0),FALSE)</f>
        <v>7460.2525126827086</v>
      </c>
      <c r="E69" s="2">
        <f>VLOOKUP($A69,import!$A:$G,MATCH(lookup_helper!E$1,import!$A$1:$G$1,0),FALSE)</f>
        <v>0</v>
      </c>
      <c r="F69">
        <f>VLOOKUP($A69,import!$A:$G,MATCH(lookup_helper!F$1,import!$A$1:$G$1,0),FALSE)</f>
        <v>0</v>
      </c>
      <c r="G69">
        <f>VLOOKUP($A69,import!$A:$G,MATCH(lookup_helper!G$1,import!$A$1:$G$1,0),FALSE)</f>
        <v>0</v>
      </c>
      <c r="H69">
        <f>VLOOKUP($A69,import!$A:$G,MATCH(lookup_helper!H$1,import!$A$1:$G$1,0),FALSE)</f>
        <v>0</v>
      </c>
      <c r="I69">
        <f>VLOOKUP($A69,import!$A:$G,MATCH(lookup_helper!I$1,import!$A$1:$G$1,0),FALSE)</f>
        <v>0</v>
      </c>
    </row>
    <row r="70" spans="1:9" x14ac:dyDescent="0.25">
      <c r="A70" s="2" t="s">
        <v>68</v>
      </c>
      <c r="B70" s="28" t="s">
        <v>179</v>
      </c>
      <c r="C70" t="s">
        <v>208</v>
      </c>
      <c r="D70" s="2">
        <f>VLOOKUP($A70,import!$A:$G,MATCH(lookup_helper!D$1,import!$A$1:$G$1,0),FALSE)</f>
        <v>1747</v>
      </c>
      <c r="E70" s="2">
        <f>VLOOKUP($A70,import!$A:$G,MATCH(lookup_helper!E$1,import!$A$1:$G$1,0),FALSE)</f>
        <v>0</v>
      </c>
      <c r="F70">
        <f>VLOOKUP($A70,import!$A:$G,MATCH(lookup_helper!F$1,import!$A$1:$G$1,0),FALSE)</f>
        <v>0</v>
      </c>
      <c r="G70">
        <f>VLOOKUP($A70,import!$A:$G,MATCH(lookup_helper!G$1,import!$A$1:$G$1,0),FALSE)</f>
        <v>0</v>
      </c>
      <c r="H70">
        <f>VLOOKUP($A70,import!$A:$G,MATCH(lookup_helper!H$1,import!$A$1:$G$1,0),FALSE)</f>
        <v>0</v>
      </c>
      <c r="I70">
        <f>VLOOKUP($A70,import!$A:$G,MATCH(lookup_helper!I$1,import!$A$1:$G$1,0),FALSE)</f>
        <v>0</v>
      </c>
    </row>
    <row r="71" spans="1:9" ht="30" x14ac:dyDescent="0.25">
      <c r="A71" s="2" t="s">
        <v>69</v>
      </c>
      <c r="B71" s="28" t="s">
        <v>181</v>
      </c>
      <c r="C71" t="s">
        <v>208</v>
      </c>
      <c r="D71" s="2">
        <f>VLOOKUP($A71,import!$A:$G,MATCH(lookup_helper!D$1,import!$A$1:$G$1,0),FALSE)</f>
        <v>4050</v>
      </c>
      <c r="E71" s="2">
        <f>VLOOKUP($A71,import!$A:$G,MATCH(lookup_helper!E$1,import!$A$1:$G$1,0),FALSE)</f>
        <v>0</v>
      </c>
      <c r="F71">
        <f>VLOOKUP($A71,import!$A:$G,MATCH(lookup_helper!F$1,import!$A$1:$G$1,0),FALSE)</f>
        <v>0</v>
      </c>
      <c r="G71">
        <f>VLOOKUP($A71,import!$A:$G,MATCH(lookup_helper!G$1,import!$A$1:$G$1,0),FALSE)</f>
        <v>0</v>
      </c>
      <c r="H71">
        <f>VLOOKUP($A71,import!$A:$G,MATCH(lookup_helper!H$1,import!$A$1:$G$1,0),FALSE)</f>
        <v>0</v>
      </c>
      <c r="I71">
        <f>VLOOKUP($A71,import!$A:$G,MATCH(lookup_helper!I$1,import!$A$1:$G$1,0),FALSE)</f>
        <v>0</v>
      </c>
    </row>
    <row r="72" spans="1:9" x14ac:dyDescent="0.25">
      <c r="A72" t="s">
        <v>87</v>
      </c>
      <c r="B72" s="28" t="s">
        <v>182</v>
      </c>
      <c r="C72" t="s">
        <v>208</v>
      </c>
      <c r="D72" s="2">
        <f>VLOOKUP($A72,import!$A:$G,MATCH(lookup_helper!D$1,import!$A$1:$G$1,0),FALSE)</f>
        <v>5797</v>
      </c>
      <c r="E72" s="2">
        <f>VLOOKUP($A72,import!$A:$G,MATCH(lookup_helper!E$1,import!$A$1:$G$1,0),FALSE)</f>
        <v>6115</v>
      </c>
      <c r="F72">
        <f>VLOOKUP($A72,import!$A:$G,MATCH(lookup_helper!F$1,import!$A$1:$G$1,0),FALSE)</f>
        <v>0</v>
      </c>
      <c r="G72">
        <f>VLOOKUP($A72,import!$A:$G,MATCH(lookup_helper!G$1,import!$A$1:$G$1,0),FALSE)</f>
        <v>0</v>
      </c>
      <c r="H72">
        <f>VLOOKUP($A72,import!$A:$G,MATCH(lookup_helper!H$1,import!$A$1:$G$1,0),FALSE)</f>
        <v>0</v>
      </c>
      <c r="I72">
        <f>VLOOKUP($A72,import!$A:$G,MATCH(lookup_helper!I$1,import!$A$1:$G$1,0),FALSE)</f>
        <v>0</v>
      </c>
    </row>
    <row r="73" spans="1:9" x14ac:dyDescent="0.25">
      <c r="A73" t="s">
        <v>92</v>
      </c>
      <c r="B73" s="28" t="s">
        <v>187</v>
      </c>
      <c r="C73" t="s">
        <v>208</v>
      </c>
      <c r="D73" s="2">
        <f>VLOOKUP($A73,import!$A:$G,MATCH(lookup_helper!D$1,import!$A$1:$G$1,0),FALSE)</f>
        <v>19593</v>
      </c>
      <c r="E73" s="2">
        <f>VLOOKUP($A73,import!$A:$G,MATCH(lookup_helper!E$1,import!$A$1:$G$1,0),FALSE)</f>
        <v>21044</v>
      </c>
      <c r="F73">
        <f>VLOOKUP($A73,import!$A:$G,MATCH(lookup_helper!F$1,import!$A$1:$G$1,0),FALSE)</f>
        <v>0</v>
      </c>
      <c r="G73">
        <f>VLOOKUP($A73,import!$A:$G,MATCH(lookup_helper!G$1,import!$A$1:$G$1,0),FALSE)</f>
        <v>0</v>
      </c>
      <c r="H73">
        <f>VLOOKUP($A73,import!$A:$G,MATCH(lookup_helper!H$1,import!$A$1:$G$1,0),FALSE)</f>
        <v>0</v>
      </c>
      <c r="I73">
        <f>VLOOKUP($A73,import!$A:$G,MATCH(lookup_helper!I$1,import!$A$1:$G$1,0),FALSE)</f>
        <v>0</v>
      </c>
    </row>
    <row r="74" spans="1:9" x14ac:dyDescent="0.25">
      <c r="A74" t="s">
        <v>93</v>
      </c>
      <c r="B74" s="28" t="s">
        <v>188</v>
      </c>
      <c r="C74" t="s">
        <v>208</v>
      </c>
      <c r="D74" s="2">
        <f>VLOOKUP($A74,import!$A:$G,MATCH(lookup_helper!D$1,import!$A$1:$G$1,0),FALSE)</f>
        <v>6806</v>
      </c>
      <c r="E74" s="2">
        <f>VLOOKUP($A74,import!$A:$G,MATCH(lookup_helper!E$1,import!$A$1:$G$1,0),FALSE)</f>
        <v>7661</v>
      </c>
      <c r="F74">
        <f>VLOOKUP($A74,import!$A:$G,MATCH(lookup_helper!F$1,import!$A$1:$G$1,0),FALSE)</f>
        <v>0</v>
      </c>
      <c r="G74">
        <f>VLOOKUP($A74,import!$A:$G,MATCH(lookup_helper!G$1,import!$A$1:$G$1,0),FALSE)</f>
        <v>0</v>
      </c>
      <c r="H74">
        <f>VLOOKUP($A74,import!$A:$G,MATCH(lookup_helper!H$1,import!$A$1:$G$1,0),FALSE)</f>
        <v>0</v>
      </c>
      <c r="I74">
        <f>VLOOKUP($A74,import!$A:$G,MATCH(lookup_helper!I$1,import!$A$1:$G$1,0),FALSE)</f>
        <v>0</v>
      </c>
    </row>
    <row r="75" spans="1:9" x14ac:dyDescent="0.25">
      <c r="A75" t="s">
        <v>94</v>
      </c>
      <c r="B75" s="28" t="s">
        <v>189</v>
      </c>
      <c r="C75" t="s">
        <v>208</v>
      </c>
      <c r="D75" s="2">
        <f>VLOOKUP($A75,import!$A:$G,MATCH(lookup_helper!D$1,import!$A$1:$G$1,0),FALSE)</f>
        <v>10373</v>
      </c>
      <c r="E75" s="2">
        <f>VLOOKUP($A75,import!$A:$G,MATCH(lookup_helper!E$1,import!$A$1:$G$1,0),FALSE)</f>
        <v>10477</v>
      </c>
      <c r="F75">
        <f>VLOOKUP($A75,import!$A:$G,MATCH(lookup_helper!F$1,import!$A$1:$G$1,0),FALSE)</f>
        <v>0</v>
      </c>
      <c r="G75">
        <f>VLOOKUP($A75,import!$A:$G,MATCH(lookup_helper!G$1,import!$A$1:$G$1,0),FALSE)</f>
        <v>0</v>
      </c>
      <c r="H75">
        <f>VLOOKUP($A75,import!$A:$G,MATCH(lookup_helper!H$1,import!$A$1:$G$1,0),FALSE)</f>
        <v>0</v>
      </c>
      <c r="I75">
        <f>VLOOKUP($A75,import!$A:$G,MATCH(lookup_helper!I$1,import!$A$1:$G$1,0),FALSE)</f>
        <v>0</v>
      </c>
    </row>
    <row r="76" spans="1:9" x14ac:dyDescent="0.25">
      <c r="A76" t="s">
        <v>95</v>
      </c>
      <c r="B76" s="28" t="s">
        <v>190</v>
      </c>
      <c r="C76" t="s">
        <v>208</v>
      </c>
      <c r="D76" s="2">
        <f>VLOOKUP($A76,import!$A:$G,MATCH(lookup_helper!D$1,import!$A$1:$G$1,0),FALSE)</f>
        <v>184</v>
      </c>
      <c r="E76" s="2">
        <f>VLOOKUP($A76,import!$A:$G,MATCH(lookup_helper!E$1,import!$A$1:$G$1,0),FALSE)</f>
        <v>294</v>
      </c>
      <c r="F76">
        <f>VLOOKUP($A76,import!$A:$G,MATCH(lookup_helper!F$1,import!$A$1:$G$1,0),FALSE)</f>
        <v>0</v>
      </c>
      <c r="G76">
        <f>VLOOKUP($A76,import!$A:$G,MATCH(lookup_helper!G$1,import!$A$1:$G$1,0),FALSE)</f>
        <v>0</v>
      </c>
      <c r="H76">
        <f>VLOOKUP($A76,import!$A:$G,MATCH(lookup_helper!H$1,import!$A$1:$G$1,0),FALSE)</f>
        <v>0</v>
      </c>
      <c r="I76">
        <f>VLOOKUP($A76,import!$A:$G,MATCH(lookup_helper!I$1,import!$A$1:$G$1,0),FALSE)</f>
        <v>0</v>
      </c>
    </row>
    <row r="77" spans="1:9" x14ac:dyDescent="0.25">
      <c r="A77" t="s">
        <v>96</v>
      </c>
      <c r="B77" s="28" t="s">
        <v>191</v>
      </c>
      <c r="C77" t="s">
        <v>208</v>
      </c>
      <c r="D77" s="2">
        <f>VLOOKUP($A77,import!$A:$G,MATCH(lookup_helper!D$1,import!$A$1:$G$1,0),FALSE)</f>
        <v>381</v>
      </c>
      <c r="E77" s="2">
        <f>VLOOKUP($A77,import!$A:$G,MATCH(lookup_helper!E$1,import!$A$1:$G$1,0),FALSE)</f>
        <v>429</v>
      </c>
      <c r="F77">
        <f>VLOOKUP($A77,import!$A:$G,MATCH(lookup_helper!F$1,import!$A$1:$G$1,0),FALSE)</f>
        <v>0</v>
      </c>
      <c r="G77">
        <f>VLOOKUP($A77,import!$A:$G,MATCH(lookup_helper!G$1,import!$A$1:$G$1,0),FALSE)</f>
        <v>0</v>
      </c>
      <c r="H77">
        <f>VLOOKUP($A77,import!$A:$G,MATCH(lookup_helper!H$1,import!$A$1:$G$1,0),FALSE)</f>
        <v>0</v>
      </c>
      <c r="I77">
        <f>VLOOKUP($A77,import!$A:$G,MATCH(lookup_helper!I$1,import!$A$1:$G$1,0),FALSE)</f>
        <v>0</v>
      </c>
    </row>
    <row r="78" spans="1:9" x14ac:dyDescent="0.25">
      <c r="A78" t="s">
        <v>97</v>
      </c>
      <c r="B78" s="28" t="s">
        <v>192</v>
      </c>
      <c r="C78" t="s">
        <v>208</v>
      </c>
      <c r="D78" s="2">
        <f>VLOOKUP($A78,import!$A:$G,MATCH(lookup_helper!D$1,import!$A$1:$G$1,0),FALSE)</f>
        <v>1526</v>
      </c>
      <c r="E78" s="2">
        <f>VLOOKUP($A78,import!$A:$G,MATCH(lookup_helper!E$1,import!$A$1:$G$1,0),FALSE)</f>
        <v>1827</v>
      </c>
      <c r="F78">
        <f>VLOOKUP($A78,import!$A:$G,MATCH(lookup_helper!F$1,import!$A$1:$G$1,0),FALSE)</f>
        <v>0</v>
      </c>
      <c r="G78">
        <f>VLOOKUP($A78,import!$A:$G,MATCH(lookup_helper!G$1,import!$A$1:$G$1,0),FALSE)</f>
        <v>0</v>
      </c>
      <c r="H78">
        <f>VLOOKUP($A78,import!$A:$G,MATCH(lookup_helper!H$1,import!$A$1:$G$1,0),FALSE)</f>
        <v>0</v>
      </c>
      <c r="I78">
        <f>VLOOKUP($A78,import!$A:$G,MATCH(lookup_helper!I$1,import!$A$1:$G$1,0),FALSE)</f>
        <v>0</v>
      </c>
    </row>
    <row r="79" spans="1:9" x14ac:dyDescent="0.25">
      <c r="A79" t="s">
        <v>107</v>
      </c>
      <c r="B79" s="28" t="s">
        <v>197</v>
      </c>
      <c r="C79" t="s">
        <v>213</v>
      </c>
      <c r="D79" s="3">
        <f>VLOOKUP($A79,import!$A:$G,MATCH(lookup_helper!D$1,import!$A$1:$G$1,0),FALSE)</f>
        <v>0.68447077769432152</v>
      </c>
      <c r="E79" s="3">
        <f>VLOOKUP($A79,import!$A:$G,MATCH(lookup_helper!E$1,import!$A$1:$G$1,0),FALSE)</f>
        <v>0.68192319179405259</v>
      </c>
      <c r="F79" s="3">
        <f>VLOOKUP($A79,import!$A:$G,MATCH(lookup_helper!F$1,import!$A$1:$G$1,0),FALSE)</f>
        <v>0.62622069700880123</v>
      </c>
      <c r="G79" s="3">
        <f>VLOOKUP($A79,import!$A:$G,MATCH(lookup_helper!G$1,import!$A$1:$G$1,0),FALSE)</f>
        <v>0.99998912009623475</v>
      </c>
      <c r="H79" s="3">
        <f>VLOOKUP($A79,import!$A:$G,MATCH(lookup_helper!H$1,import!$A$1:$G$1,0),FALSE)</f>
        <v>0.65824713128427348</v>
      </c>
      <c r="I79" s="3">
        <f>VLOOKUP($A79,import!$A:$G,MATCH(lookup_helper!I$1,import!$A$1:$G$1,0),FALSE)</f>
        <v>0.93085349575304976</v>
      </c>
    </row>
    <row r="80" spans="1:9" s="77" customFormat="1" x14ac:dyDescent="0.25">
      <c r="A80" s="77" t="s">
        <v>88</v>
      </c>
      <c r="B80" s="78" t="s">
        <v>185</v>
      </c>
      <c r="C80" s="77" t="s">
        <v>213</v>
      </c>
      <c r="D80" s="79">
        <f>VLOOKUP($A80,import!$A:$G,MATCH(lookup_helper!D$1,import!$A$1:$G$1,0),FALSE)</f>
        <v>1916</v>
      </c>
      <c r="E80" s="79">
        <f>VLOOKUP($A80,import!$A:$G,MATCH(lookup_helper!E$1,import!$A$1:$G$1,0),FALSE)</f>
        <v>2072.611115859987</v>
      </c>
      <c r="F80" s="77">
        <f>VLOOKUP($A80,import!$A:$G,MATCH(lookup_helper!F$1,import!$A$1:$G$1,0),FALSE)</f>
        <v>0</v>
      </c>
      <c r="G80" s="77">
        <f>VLOOKUP($A80,import!$A:$G,MATCH(lookup_helper!G$1,import!$A$1:$G$1,0),FALSE)</f>
        <v>0</v>
      </c>
      <c r="H80" s="77">
        <f>VLOOKUP($A80,import!$A:$G,MATCH(lookup_helper!H$1,import!$A$1:$G$1,0),FALSE)</f>
        <v>0</v>
      </c>
      <c r="I80" s="77">
        <f>VLOOKUP($A80,import!$A:$G,MATCH(lookup_helper!I$1,import!$A$1:$G$1,0),FALSE)</f>
        <v>0</v>
      </c>
    </row>
    <row r="81" spans="1:16" s="77" customFormat="1" x14ac:dyDescent="0.25">
      <c r="A81" s="77" t="s">
        <v>89</v>
      </c>
      <c r="B81" s="78" t="s">
        <v>183</v>
      </c>
      <c r="C81" s="77" t="s">
        <v>213</v>
      </c>
      <c r="D81" s="79">
        <f>VLOOKUP($A81,import!$A:$G,MATCH(lookup_helper!D$1,import!$A$1:$G$1,0),FALSE)</f>
        <v>1769</v>
      </c>
      <c r="E81" s="79">
        <f>VLOOKUP($A81,import!$A:$G,MATCH(lookup_helper!E$1,import!$A$1:$G$1,0),FALSE)</f>
        <v>2761.6599999999989</v>
      </c>
      <c r="F81" s="77">
        <f>VLOOKUP($A81,import!$A:$G,MATCH(lookup_helper!F$1,import!$A$1:$G$1,0),FALSE)</f>
        <v>0</v>
      </c>
      <c r="G81" s="77">
        <f>VLOOKUP($A81,import!$A:$G,MATCH(lookup_helper!G$1,import!$A$1:$G$1,0),FALSE)</f>
        <v>0</v>
      </c>
      <c r="H81" s="77">
        <f>VLOOKUP($A81,import!$A:$G,MATCH(lookup_helper!H$1,import!$A$1:$G$1,0),FALSE)</f>
        <v>0</v>
      </c>
      <c r="I81" s="77">
        <f>VLOOKUP($A81,import!$A:$G,MATCH(lookup_helper!I$1,import!$A$1:$G$1,0),FALSE)</f>
        <v>0</v>
      </c>
    </row>
    <row r="82" spans="1:16" x14ac:dyDescent="0.25">
      <c r="A82" t="s">
        <v>104</v>
      </c>
      <c r="B82" s="28" t="s">
        <v>194</v>
      </c>
      <c r="C82" t="s">
        <v>213</v>
      </c>
      <c r="D82" s="2">
        <f>VLOOKUP($A82,import!$A:$G,MATCH(lookup_helper!D$1,import!$A$1:$G$1,0),FALSE)</f>
        <v>3685</v>
      </c>
      <c r="E82" s="2">
        <f>VLOOKUP($A82,import!$A:$G,MATCH(lookup_helper!E$1,import!$A$1:$G$1,0),FALSE)</f>
        <v>4834.2711158599859</v>
      </c>
      <c r="F82">
        <f>VLOOKUP($A82,import!$A:$G,MATCH(lookup_helper!F$1,import!$A$1:$G$1,0),FALSE)</f>
        <v>0</v>
      </c>
      <c r="G82">
        <f>VLOOKUP($A82,import!$A:$G,MATCH(lookup_helper!G$1,import!$A$1:$G$1,0),FALSE)</f>
        <v>0</v>
      </c>
      <c r="H82">
        <f>VLOOKUP($A82,import!$A:$G,MATCH(lookup_helper!H$1,import!$A$1:$G$1,0),FALSE)</f>
        <v>0</v>
      </c>
      <c r="I82">
        <f>VLOOKUP($A82,import!$A:$G,MATCH(lookup_helper!I$1,import!$A$1:$G$1,0),FALSE)</f>
        <v>0</v>
      </c>
    </row>
    <row r="83" spans="1:16" s="77" customFormat="1" x14ac:dyDescent="0.25">
      <c r="A83" s="79" t="s">
        <v>65</v>
      </c>
      <c r="B83" s="78" t="s">
        <v>176</v>
      </c>
      <c r="C83" s="77" t="s">
        <v>214</v>
      </c>
      <c r="D83" s="80">
        <f>VLOOKUP($A83,import!$A:$G,MATCH(lookup_helper!D$1,import!$A$1:$G$1,0),FALSE)</f>
        <v>1.3624389724527719</v>
      </c>
      <c r="E83" s="80">
        <f>VLOOKUP($A83,import!$A:$G,MATCH(lookup_helper!E$1,import!$A$1:$G$1,0),FALSE)</f>
        <v>0</v>
      </c>
      <c r="F83" s="80">
        <f>VLOOKUP($A83,import!$A:$G,MATCH(lookup_helper!F$1,import!$A$1:$G$1,0),FALSE)</f>
        <v>0</v>
      </c>
      <c r="G83" s="80">
        <f>VLOOKUP($A83,import!$A:$G,MATCH(lookup_helper!G$1,import!$A$1:$G$1,0),FALSE)</f>
        <v>0</v>
      </c>
      <c r="H83" s="80">
        <f>VLOOKUP($A83,import!$A:$G,MATCH(lookup_helper!H$1,import!$A$1:$G$1,0),FALSE)</f>
        <v>0</v>
      </c>
      <c r="I83" s="80">
        <f>VLOOKUP($A83,import!$A:$G,MATCH(lookup_helper!I$1,import!$A$1:$G$1,0),FALSE)</f>
        <v>0</v>
      </c>
    </row>
    <row r="84" spans="1:16" s="77" customFormat="1" ht="30" x14ac:dyDescent="0.25">
      <c r="A84" s="79" t="s">
        <v>66</v>
      </c>
      <c r="B84" s="78" t="s">
        <v>177</v>
      </c>
      <c r="C84" s="77" t="s">
        <v>214</v>
      </c>
      <c r="D84" s="80">
        <f>VLOOKUP($A84,import!$A:$G,MATCH(lookup_helper!D$1,import!$A$1:$G$1,0),FALSE)</f>
        <v>1.475654647382425</v>
      </c>
      <c r="E84" s="80">
        <f>VLOOKUP($A84,import!$A:$G,MATCH(lookup_helper!E$1,import!$A$1:$G$1,0),FALSE)</f>
        <v>0</v>
      </c>
      <c r="F84" s="80">
        <f>VLOOKUP($A84,import!$A:$G,MATCH(lookup_helper!F$1,import!$A$1:$G$1,0),FALSE)</f>
        <v>0</v>
      </c>
      <c r="G84" s="80">
        <f>VLOOKUP($A84,import!$A:$G,MATCH(lookup_helper!G$1,import!$A$1:$G$1,0),FALSE)</f>
        <v>0</v>
      </c>
      <c r="H84" s="80">
        <f>VLOOKUP($A84,import!$A:$G,MATCH(lookup_helper!H$1,import!$A$1:$G$1,0),FALSE)</f>
        <v>0</v>
      </c>
      <c r="I84" s="80">
        <f>VLOOKUP($A84,import!$A:$G,MATCH(lookup_helper!I$1,import!$A$1:$G$1,0),FALSE)</f>
        <v>0</v>
      </c>
    </row>
    <row r="85" spans="1:16" ht="30" x14ac:dyDescent="0.25">
      <c r="A85" s="2" t="s">
        <v>67</v>
      </c>
      <c r="B85" s="28" t="s">
        <v>178</v>
      </c>
      <c r="C85" t="s">
        <v>214</v>
      </c>
      <c r="D85" s="3">
        <f>VLOOKUP($A85,import!$A:$G,MATCH(lookup_helper!D$1,import!$A$1:$G$1,0),FALSE)</f>
        <v>2.8380936198351971</v>
      </c>
      <c r="E85" s="3">
        <f>VLOOKUP($A85,import!$A:$G,MATCH(lookup_helper!E$1,import!$A$1:$G$1,0),FALSE)</f>
        <v>0</v>
      </c>
      <c r="F85" s="3">
        <f>VLOOKUP($A85,import!$A:$G,MATCH(lookup_helper!F$1,import!$A$1:$G$1,0),FALSE)</f>
        <v>1.4432109489386511</v>
      </c>
      <c r="G85" s="3">
        <f>VLOOKUP($A85,import!$A:$G,MATCH(lookup_helper!G$1,import!$A$1:$G$1,0),FALSE)</f>
        <v>0.38506745756398192</v>
      </c>
      <c r="H85" s="3">
        <f>VLOOKUP($A85,import!$A:$G,MATCH(lookup_helper!H$1,import!$A$1:$G$1,0),FALSE)</f>
        <v>0</v>
      </c>
      <c r="I85" s="3">
        <f>VLOOKUP($A85,import!$A:$G,MATCH(lookup_helper!I$1,import!$A$1:$G$1,0),FALSE)</f>
        <v>0</v>
      </c>
    </row>
    <row r="86" spans="1:16" x14ac:dyDescent="0.25">
      <c r="A86" s="3" t="s">
        <v>19</v>
      </c>
      <c r="B86" s="28" t="s">
        <v>148</v>
      </c>
      <c r="C86" t="s">
        <v>205</v>
      </c>
      <c r="D86">
        <f>VLOOKUP($A86,import!$A:$G,MATCH(lookup_helper!D$1,import!$A$1:$G$1,0),FALSE)</f>
        <v>56</v>
      </c>
      <c r="E86">
        <f>VLOOKUP($A86,import!$A:$G,MATCH(lookup_helper!E$1,import!$A$1:$G$1,0),FALSE)</f>
        <v>0</v>
      </c>
      <c r="F86">
        <f>VLOOKUP($A86,import!$A:$G,MATCH(lookup_helper!F$1,import!$A$1:$G$1,0),FALSE)</f>
        <v>1498</v>
      </c>
      <c r="G86">
        <f>VLOOKUP($A86,import!$A:$G,MATCH(lookup_helper!G$1,import!$A$1:$G$1,0),FALSE)</f>
        <v>55020</v>
      </c>
      <c r="H86">
        <f>VLOOKUP($A86,import!$A:$G,MATCH(lookup_helper!H$1,import!$A$1:$G$1,0),FALSE)</f>
        <v>0</v>
      </c>
      <c r="I86">
        <f>VLOOKUP($A86,import!$A:$G,MATCH(lookup_helper!I$1,import!$A$1:$G$1,0),FALSE)</f>
        <v>0</v>
      </c>
    </row>
    <row r="87" spans="1:16" x14ac:dyDescent="0.25">
      <c r="A87" s="3" t="s">
        <v>20</v>
      </c>
      <c r="B87" s="28" t="s">
        <v>149</v>
      </c>
      <c r="C87" t="s">
        <v>205</v>
      </c>
      <c r="D87">
        <f>VLOOKUP($A87,import!$A:$G,MATCH(lookup_helper!D$1,import!$A$1:$G$1,0),FALSE)</f>
        <v>41.285465803940781</v>
      </c>
      <c r="E87">
        <f>VLOOKUP($A87,import!$A:$G,MATCH(lookup_helper!E$1,import!$A$1:$G$1,0),FALSE)</f>
        <v>0</v>
      </c>
      <c r="F87">
        <f>VLOOKUP($A87,import!$A:$G,MATCH(lookup_helper!F$1,import!$A$1:$G$1,0),FALSE)</f>
        <v>61.135362311155802</v>
      </c>
      <c r="G87">
        <f>VLOOKUP($A87,import!$A:$G,MATCH(lookup_helper!G$1,import!$A$1:$G$1,0),FALSE)</f>
        <v>63.369834818958772</v>
      </c>
      <c r="H87">
        <f>VLOOKUP($A87,import!$A:$G,MATCH(lookup_helper!H$1,import!$A$1:$G$1,0),FALSE)</f>
        <v>0</v>
      </c>
      <c r="I87">
        <f>VLOOKUP($A87,import!$A:$G,MATCH(lookup_helper!I$1,import!$A$1:$G$1,0),FALSE)</f>
        <v>0</v>
      </c>
    </row>
    <row r="88" spans="1:16" x14ac:dyDescent="0.25">
      <c r="A88" s="3" t="s">
        <v>21</v>
      </c>
      <c r="B88" s="28" t="s">
        <v>150</v>
      </c>
      <c r="C88" t="s">
        <v>205</v>
      </c>
      <c r="D88">
        <f>VLOOKUP($A88,import!$A:$G,MATCH(lookup_helper!D$1,import!$A$1:$G$1,0),FALSE)</f>
        <v>2</v>
      </c>
      <c r="E88">
        <f>VLOOKUP($A88,import!$A:$G,MATCH(lookup_helper!E$1,import!$A$1:$G$1,0),FALSE)</f>
        <v>0</v>
      </c>
      <c r="F88">
        <f>VLOOKUP($A88,import!$A:$G,MATCH(lookup_helper!F$1,import!$A$1:$G$1,0),FALSE)</f>
        <v>41</v>
      </c>
      <c r="G88">
        <f>VLOOKUP($A88,import!$A:$G,MATCH(lookup_helper!G$1,import!$A$1:$G$1,0),FALSE)</f>
        <v>1113</v>
      </c>
      <c r="H88">
        <f>VLOOKUP($A88,import!$A:$G,MATCH(lookup_helper!H$1,import!$A$1:$G$1,0),FALSE)</f>
        <v>0</v>
      </c>
      <c r="I88">
        <f>VLOOKUP($A88,import!$A:$G,MATCH(lookup_helper!I$1,import!$A$1:$G$1,0),FALSE)</f>
        <v>0</v>
      </c>
    </row>
    <row r="89" spans="1:16" x14ac:dyDescent="0.25">
      <c r="A89" s="3" t="s">
        <v>22</v>
      </c>
      <c r="B89" s="28" t="s">
        <v>151</v>
      </c>
      <c r="C89" t="s">
        <v>205</v>
      </c>
      <c r="D89">
        <f>VLOOKUP($A89,import!$A:$G,MATCH(lookup_helper!D$1,import!$A$1:$G$1,0),FALSE)</f>
        <v>1.474480921569314</v>
      </c>
      <c r="E89">
        <f>VLOOKUP($A89,import!$A:$G,MATCH(lookup_helper!E$1,import!$A$1:$G$1,0),FALSE)</f>
        <v>0</v>
      </c>
      <c r="F89">
        <f>VLOOKUP($A89,import!$A:$G,MATCH(lookup_helper!F$1,import!$A$1:$G$1,0),FALSE)</f>
        <v>1.6732642555122741</v>
      </c>
      <c r="G89">
        <f>VLOOKUP($A89,import!$A:$G,MATCH(lookup_helper!G$1,import!$A$1:$G$1,0),FALSE)</f>
        <v>1.2819088722919141</v>
      </c>
      <c r="H89">
        <f>VLOOKUP($A89,import!$A:$G,MATCH(lookup_helper!H$1,import!$A$1:$G$1,0),FALSE)</f>
        <v>0</v>
      </c>
      <c r="I89">
        <f>VLOOKUP($A89,import!$A:$G,MATCH(lookup_helper!I$1,import!$A$1:$G$1,0),FALSE)</f>
        <v>0</v>
      </c>
    </row>
    <row r="90" spans="1:16" x14ac:dyDescent="0.25">
      <c r="A90" s="3" t="s">
        <v>23</v>
      </c>
      <c r="B90" s="28" t="s">
        <v>152</v>
      </c>
      <c r="C90" t="s">
        <v>205</v>
      </c>
      <c r="D90" s="1">
        <f>VLOOKUP($A90,import!$A:$G,MATCH(lookup_helper!D$1,import!$A$1:$G$1,0),FALSE)</f>
        <v>3.5714285714285719E-2</v>
      </c>
      <c r="E90" s="1">
        <f>VLOOKUP($A90,import!$A:$G,MATCH(lookup_helper!E$1,import!$A$1:$G$1,0),FALSE)</f>
        <v>0</v>
      </c>
      <c r="F90" s="1">
        <f>VLOOKUP($A90,import!$A:$G,MATCH(lookup_helper!F$1,import!$A$1:$G$1,0),FALSE)</f>
        <v>2.7369826435246991E-2</v>
      </c>
      <c r="G90" s="1">
        <f>VLOOKUP($A90,import!$A:$G,MATCH(lookup_helper!G$1,import!$A$1:$G$1,0),FALSE)</f>
        <v>2.022900763358779E-2</v>
      </c>
      <c r="H90" s="1">
        <f>VLOOKUP($A90,import!$A:$G,MATCH(lookup_helper!H$1,import!$A$1:$G$1,0),FALSE)</f>
        <v>0</v>
      </c>
      <c r="I90" s="1">
        <f>VLOOKUP($A90,import!$A:$G,MATCH(lookup_helper!I$1,import!$A$1:$G$1,0),FALSE)</f>
        <v>0</v>
      </c>
    </row>
    <row r="91" spans="1:16" x14ac:dyDescent="0.25">
      <c r="A91" s="3" t="s">
        <v>24</v>
      </c>
      <c r="B91" s="28" t="s">
        <v>153</v>
      </c>
      <c r="C91" t="s">
        <v>205</v>
      </c>
      <c r="D91">
        <f>VLOOKUP($A91,import!$A:$G,MATCH(lookup_helper!D$1,import!$A$1:$G$1,0),FALSE)</f>
        <v>3</v>
      </c>
      <c r="E91">
        <f>VLOOKUP($A91,import!$A:$G,MATCH(lookup_helper!E$1,import!$A$1:$G$1,0),FALSE)</f>
        <v>0</v>
      </c>
      <c r="F91">
        <f>VLOOKUP($A91,import!$A:$G,MATCH(lookup_helper!F$1,import!$A$1:$G$1,0),FALSE)</f>
        <v>202</v>
      </c>
      <c r="G91">
        <f>VLOOKUP($A91,import!$A:$G,MATCH(lookup_helper!G$1,import!$A$1:$G$1,0),FALSE)</f>
        <v>6723</v>
      </c>
      <c r="H91">
        <f>VLOOKUP($A91,import!$A:$G,MATCH(lookup_helper!H$1,import!$A$1:$G$1,0),FALSE)</f>
        <v>0</v>
      </c>
      <c r="I91">
        <f>VLOOKUP($A91,import!$A:$G,MATCH(lookup_helper!I$1,import!$A$1:$G$1,0),FALSE)</f>
        <v>0</v>
      </c>
    </row>
    <row r="92" spans="1:16" ht="30" x14ac:dyDescent="0.25">
      <c r="A92" s="1" t="s">
        <v>25</v>
      </c>
      <c r="B92" s="28" t="s">
        <v>302</v>
      </c>
      <c r="C92" t="s">
        <v>205</v>
      </c>
      <c r="D92">
        <f>VLOOKUP($A92,import!$A:$G,MATCH(lookup_helper!D$1,import!$A$1:$G$1,0),FALSE)</f>
        <v>2.1232525270598122</v>
      </c>
      <c r="E92">
        <f>VLOOKUP($A92,import!$A:$G,MATCH(lookup_helper!E$1,import!$A$1:$G$1,0),FALSE)</f>
        <v>0</v>
      </c>
      <c r="F92">
        <f>VLOOKUP($A92,import!$A:$G,MATCH(lookup_helper!F$1,import!$A$1:$G$1,0),FALSE)</f>
        <v>0.28524510017006321</v>
      </c>
      <c r="G92">
        <f>VLOOKUP($A92,import!$A:$G,MATCH(lookup_helper!G$1,import!$A$1:$G$1,0),FALSE)</f>
        <v>0.40140092908768138</v>
      </c>
      <c r="H92">
        <f>VLOOKUP($A92,import!$A:$G,MATCH(lookup_helper!H$1,import!$A$1:$G$1,0),FALSE)</f>
        <v>0</v>
      </c>
      <c r="I92">
        <f>VLOOKUP($A92,import!$A:$G,MATCH(lookup_helper!I$1,import!$A$1:$G$1,0),FALSE)</f>
        <v>0</v>
      </c>
    </row>
    <row r="93" spans="1:16" x14ac:dyDescent="0.25">
      <c r="A93" s="1" t="s">
        <v>26</v>
      </c>
      <c r="B93" s="28" t="s">
        <v>154</v>
      </c>
      <c r="C93" t="s">
        <v>205</v>
      </c>
      <c r="D93" s="1">
        <f>VLOOKUP($A93,import!$A:$G,MATCH(lookup_helper!D$1,import!$A$1:$G$1,0),FALSE)</f>
        <v>5.3571428571428568E-2</v>
      </c>
      <c r="E93" s="1">
        <f>VLOOKUP($A93,import!$A:$G,MATCH(lookup_helper!E$1,import!$A$1:$G$1,0),FALSE)</f>
        <v>0</v>
      </c>
      <c r="F93" s="1">
        <f>VLOOKUP($A93,import!$A:$G,MATCH(lookup_helper!F$1,import!$A$1:$G$1,0),FALSE)</f>
        <v>0.13484646194926569</v>
      </c>
      <c r="G93" s="1">
        <f>VLOOKUP($A93,import!$A:$G,MATCH(lookup_helper!G$1,import!$A$1:$G$1,0),FALSE)</f>
        <v>0.1221919302071974</v>
      </c>
      <c r="H93" s="1">
        <f>VLOOKUP($A93,import!$A:$G,MATCH(lookup_helper!H$1,import!$A$1:$G$1,0),FALSE)</f>
        <v>0</v>
      </c>
      <c r="I93" s="1">
        <f>VLOOKUP($A93,import!$A:$G,MATCH(lookup_helper!I$1,import!$A$1:$G$1,0),FALSE)</f>
        <v>0</v>
      </c>
    </row>
    <row r="94" spans="1:16" x14ac:dyDescent="0.25">
      <c r="A94" t="s">
        <v>27</v>
      </c>
      <c r="B94" s="28" t="s">
        <v>155</v>
      </c>
      <c r="C94" t="s">
        <v>206</v>
      </c>
      <c r="D94">
        <f>VLOOKUP($A94,import!$A:$G,MATCH(lookup_helper!D$1,import!$A$1:$G$1,0),FALSE)</f>
        <v>-1</v>
      </c>
      <c r="E94">
        <f>VLOOKUP($A94,import!$A:$G,MATCH(lookup_helper!E$1,import!$A$1:$G$1,0),FALSE)</f>
        <v>0</v>
      </c>
      <c r="F94">
        <f>VLOOKUP($A94,import!$A:$G,MATCH(lookup_helper!F$1,import!$A$1:$G$1,0),FALSE)</f>
        <v>0</v>
      </c>
      <c r="G94">
        <f>VLOOKUP($A94,import!$A:$G,MATCH(lookup_helper!G$1,import!$A$1:$G$1,0),FALSE)</f>
        <v>0</v>
      </c>
      <c r="H94">
        <f>VLOOKUP($A94,import!$A:$G,MATCH(lookup_helper!H$1,import!$A$1:$G$1,0),FALSE)</f>
        <v>0</v>
      </c>
      <c r="I94">
        <f>VLOOKUP($A94,import!$A:$G,MATCH(lookup_helper!I$1,import!$A$1:$G$1,0),FALSE)</f>
        <v>0</v>
      </c>
    </row>
    <row r="95" spans="1:16" ht="30" x14ac:dyDescent="0.25">
      <c r="A95" s="2" t="s">
        <v>70</v>
      </c>
      <c r="B95" s="28" t="s">
        <v>180</v>
      </c>
      <c r="C95" t="s">
        <v>215</v>
      </c>
      <c r="D95">
        <f>VLOOKUP($A95,import!$A:$G,MATCH(lookup_helper!D$1,import!$A$1:$G$1,0),FALSE)</f>
        <v>0.69863722615145762</v>
      </c>
      <c r="E95">
        <f>VLOOKUP($A95,import!$A:$G,MATCH(lookup_helper!E$1,import!$A$1:$G$1,0),FALSE)</f>
        <v>0</v>
      </c>
      <c r="F95">
        <f>VLOOKUP($A95,import!$A:$G,MATCH(lookup_helper!F$1,import!$A$1:$G$1,0),FALSE)</f>
        <v>0.34730153421679688</v>
      </c>
      <c r="G95">
        <f>VLOOKUP($A95,import!$A:$G,MATCH(lookup_helper!G$1,import!$A$1:$G$1,0),FALSE)</f>
        <v>0.3746385676273582</v>
      </c>
      <c r="H95">
        <f>VLOOKUP($A95,import!$A:$G,MATCH(lookup_helper!H$1,import!$A$1:$G$1,0),FALSE)</f>
        <v>0</v>
      </c>
      <c r="I95">
        <f>VLOOKUP($A95,import!$A:$G,MATCH(lookup_helper!I$1,import!$A$1:$G$1,0),FALSE)</f>
        <v>0</v>
      </c>
    </row>
    <row r="96" spans="1:16" x14ac:dyDescent="0.25">
      <c r="A96" s="2" t="s">
        <v>71</v>
      </c>
      <c r="B96" s="28" t="s">
        <v>264</v>
      </c>
      <c r="C96" t="s">
        <v>215</v>
      </c>
      <c r="D96" s="51">
        <f>VLOOKUP($A96,import!$A:$G,MATCH(lookup_helper!D$1,import!$A$1:$G$1,0),FALSE)</f>
        <v>1013.770763052209</v>
      </c>
      <c r="E96">
        <f>VLOOKUP($A96,import!$A:$G,MATCH(lookup_helper!E$1,import!$A$1:$G$1,0),FALSE)</f>
        <v>0</v>
      </c>
      <c r="F96">
        <f>VLOOKUP($A96,import!$A:$G,MATCH(lookup_helper!F$1,import!$A$1:$G$1,0),FALSE)</f>
        <v>0</v>
      </c>
      <c r="G96">
        <f>VLOOKUP($A96,import!$A:$G,MATCH(lookup_helper!G$1,import!$A$1:$G$1,0),FALSE)</f>
        <v>0</v>
      </c>
      <c r="H96">
        <f>VLOOKUP($A96,import!$A:$G,MATCH(lookup_helper!H$1,import!$A$1:$G$1,0),FALSE)</f>
        <v>0</v>
      </c>
      <c r="I96">
        <f>VLOOKUP($A96,import!$A:$G,MATCH(lookup_helper!I$1,import!$A$1:$G$1,0),FALSE)</f>
        <v>0</v>
      </c>
      <c r="J96" t="s">
        <v>260</v>
      </c>
      <c r="P96" s="28"/>
    </row>
    <row r="97" spans="1:16" x14ac:dyDescent="0.25">
      <c r="A97" s="2" t="s">
        <v>72</v>
      </c>
      <c r="B97" s="28" t="s">
        <v>265</v>
      </c>
      <c r="C97" t="s">
        <v>215</v>
      </c>
      <c r="D97" s="51">
        <f>VLOOKUP($A97,import!$A:$G,MATCH(lookup_helper!D$1,import!$A$1:$G$1,0),FALSE)</f>
        <v>2709.1952208835341</v>
      </c>
      <c r="E97">
        <f>VLOOKUP($A97,import!$A:$G,MATCH(lookup_helper!E$1,import!$A$1:$G$1,0),FALSE)</f>
        <v>0</v>
      </c>
      <c r="F97">
        <f>VLOOKUP($A97,import!$A:$G,MATCH(lookup_helper!F$1,import!$A$1:$G$1,0),FALSE)</f>
        <v>0</v>
      </c>
      <c r="G97">
        <f>VLOOKUP($A97,import!$A:$G,MATCH(lookup_helper!G$1,import!$A$1:$G$1,0),FALSE)</f>
        <v>0</v>
      </c>
      <c r="H97">
        <f>VLOOKUP($A97,import!$A:$G,MATCH(lookup_helper!H$1,import!$A$1:$G$1,0),FALSE)</f>
        <v>0</v>
      </c>
      <c r="I97">
        <f>VLOOKUP($A97,import!$A:$G,MATCH(lookup_helper!I$1,import!$A$1:$G$1,0),FALSE)</f>
        <v>0</v>
      </c>
      <c r="J97" t="s">
        <v>260</v>
      </c>
      <c r="P97" s="28"/>
    </row>
    <row r="98" spans="1:16" x14ac:dyDescent="0.25">
      <c r="A98" s="1" t="s">
        <v>73</v>
      </c>
      <c r="B98" s="28" t="s">
        <v>266</v>
      </c>
      <c r="C98" t="s">
        <v>215</v>
      </c>
      <c r="D98" s="51">
        <f>VLOOKUP($A98,import!$A:$G,MATCH(lookup_helper!D$1,import!$A$1:$G$1,0),FALSE)</f>
        <v>45512.183253012037</v>
      </c>
      <c r="E98">
        <f>VLOOKUP($A98,import!$A:$G,MATCH(lookup_helper!E$1,import!$A$1:$G$1,0),FALSE)</f>
        <v>0</v>
      </c>
      <c r="F98">
        <f>VLOOKUP($A98,import!$A:$G,MATCH(lookup_helper!F$1,import!$A$1:$G$1,0),FALSE)</f>
        <v>0</v>
      </c>
      <c r="G98">
        <f>VLOOKUP($A98,import!$A:$G,MATCH(lookup_helper!G$1,import!$A$1:$G$1,0),FALSE)</f>
        <v>0</v>
      </c>
      <c r="H98">
        <f>VLOOKUP($A98,import!$A:$G,MATCH(lookup_helper!H$1,import!$A$1:$G$1,0),FALSE)</f>
        <v>0</v>
      </c>
      <c r="I98">
        <f>VLOOKUP($A98,import!$A:$G,MATCH(lookup_helper!I$1,import!$A$1:$G$1,0),FALSE)</f>
        <v>0</v>
      </c>
      <c r="J98" t="s">
        <v>260</v>
      </c>
      <c r="P98" s="28"/>
    </row>
    <row r="99" spans="1:16" x14ac:dyDescent="0.25">
      <c r="A99" s="1" t="s">
        <v>74</v>
      </c>
      <c r="B99" s="28" t="s">
        <v>267</v>
      </c>
      <c r="C99" t="s">
        <v>215</v>
      </c>
      <c r="D99" s="51">
        <f>VLOOKUP($A99,import!$A:$G,MATCH(lookup_helper!D$1,import!$A$1:$G$1,0),FALSE)</f>
        <v>6491.7790361445777</v>
      </c>
      <c r="E99">
        <f>VLOOKUP($A99,import!$A:$G,MATCH(lookup_helper!E$1,import!$A$1:$G$1,0),FALSE)</f>
        <v>0</v>
      </c>
      <c r="F99">
        <f>VLOOKUP($A99,import!$A:$G,MATCH(lookup_helper!F$1,import!$A$1:$G$1,0),FALSE)</f>
        <v>0</v>
      </c>
      <c r="G99">
        <f>VLOOKUP($A99,import!$A:$G,MATCH(lookup_helper!G$1,import!$A$1:$G$1,0),FALSE)</f>
        <v>0</v>
      </c>
      <c r="H99">
        <f>VLOOKUP($A99,import!$A:$G,MATCH(lookup_helper!H$1,import!$A$1:$G$1,0),FALSE)</f>
        <v>0</v>
      </c>
      <c r="I99">
        <f>VLOOKUP($A99,import!$A:$G,MATCH(lookup_helper!I$1,import!$A$1:$G$1,0),FALSE)</f>
        <v>0</v>
      </c>
      <c r="J99" t="s">
        <v>260</v>
      </c>
      <c r="P99" s="28"/>
    </row>
    <row r="100" spans="1:16" x14ac:dyDescent="0.25">
      <c r="A100" s="1" t="s">
        <v>75</v>
      </c>
      <c r="B100" s="28" t="s">
        <v>264</v>
      </c>
      <c r="C100" t="s">
        <v>215</v>
      </c>
      <c r="D100" s="51">
        <f>VLOOKUP($A100,import!$A:$G,MATCH(lookup_helper!D$1,import!$A$1:$G$1,0),FALSE)</f>
        <v>272.66024096385541</v>
      </c>
      <c r="E100">
        <f>VLOOKUP($A100,import!$A:$G,MATCH(lookup_helper!E$1,import!$A$1:$G$1,0),FALSE)</f>
        <v>0</v>
      </c>
      <c r="F100">
        <f>VLOOKUP($A100,import!$A:$G,MATCH(lookup_helper!F$1,import!$A$1:$G$1,0),FALSE)</f>
        <v>0</v>
      </c>
      <c r="G100">
        <f>VLOOKUP($A100,import!$A:$G,MATCH(lookup_helper!G$1,import!$A$1:$G$1,0),FALSE)</f>
        <v>0</v>
      </c>
      <c r="H100">
        <f>VLOOKUP($A100,import!$A:$G,MATCH(lookup_helper!H$1,import!$A$1:$G$1,0),FALSE)</f>
        <v>0</v>
      </c>
      <c r="I100">
        <f>VLOOKUP($A100,import!$A:$G,MATCH(lookup_helper!I$1,import!$A$1:$G$1,0),FALSE)</f>
        <v>0</v>
      </c>
      <c r="J100" t="s">
        <v>261</v>
      </c>
      <c r="P100" s="28"/>
    </row>
    <row r="101" spans="1:16" x14ac:dyDescent="0.25">
      <c r="A101" s="1" t="s">
        <v>76</v>
      </c>
      <c r="B101" s="28" t="s">
        <v>265</v>
      </c>
      <c r="C101" t="s">
        <v>215</v>
      </c>
      <c r="D101" s="51">
        <f>VLOOKUP($A101,import!$A:$G,MATCH(lookup_helper!D$1,import!$A$1:$G$1,0),FALSE)</f>
        <v>795.25333333333333</v>
      </c>
      <c r="E101">
        <f>VLOOKUP($A101,import!$A:$G,MATCH(lookup_helper!E$1,import!$A$1:$G$1,0),FALSE)</f>
        <v>0</v>
      </c>
      <c r="F101">
        <f>VLOOKUP($A101,import!$A:$G,MATCH(lookup_helper!F$1,import!$A$1:$G$1,0),FALSE)</f>
        <v>0</v>
      </c>
      <c r="G101">
        <f>VLOOKUP($A101,import!$A:$G,MATCH(lookup_helper!G$1,import!$A$1:$G$1,0),FALSE)</f>
        <v>0</v>
      </c>
      <c r="H101">
        <f>VLOOKUP($A101,import!$A:$G,MATCH(lookup_helper!H$1,import!$A$1:$G$1,0),FALSE)</f>
        <v>0</v>
      </c>
      <c r="I101">
        <f>VLOOKUP($A101,import!$A:$G,MATCH(lookup_helper!I$1,import!$A$1:$G$1,0),FALSE)</f>
        <v>0</v>
      </c>
      <c r="J101" t="s">
        <v>261</v>
      </c>
      <c r="P101" s="28"/>
    </row>
    <row r="102" spans="1:16" x14ac:dyDescent="0.25">
      <c r="A102" s="1" t="s">
        <v>77</v>
      </c>
      <c r="B102" s="28" t="s">
        <v>266</v>
      </c>
      <c r="C102" t="s">
        <v>215</v>
      </c>
      <c r="D102" s="51">
        <f>VLOOKUP($A102,import!$A:$G,MATCH(lookup_helper!D$1,import!$A$1:$G$1,0),FALSE)</f>
        <v>12386.82514056225</v>
      </c>
      <c r="E102">
        <f>VLOOKUP($A102,import!$A:$G,MATCH(lookup_helper!E$1,import!$A$1:$G$1,0),FALSE)</f>
        <v>0</v>
      </c>
      <c r="F102">
        <f>VLOOKUP($A102,import!$A:$G,MATCH(lookup_helper!F$1,import!$A$1:$G$1,0),FALSE)</f>
        <v>0</v>
      </c>
      <c r="G102">
        <f>VLOOKUP($A102,import!$A:$G,MATCH(lookup_helper!G$1,import!$A$1:$G$1,0),FALSE)</f>
        <v>0</v>
      </c>
      <c r="H102">
        <f>VLOOKUP($A102,import!$A:$G,MATCH(lookup_helper!H$1,import!$A$1:$G$1,0),FALSE)</f>
        <v>0</v>
      </c>
      <c r="I102">
        <f>VLOOKUP($A102,import!$A:$G,MATCH(lookup_helper!I$1,import!$A$1:$G$1,0),FALSE)</f>
        <v>0</v>
      </c>
      <c r="J102" t="s">
        <v>261</v>
      </c>
      <c r="P102" s="28"/>
    </row>
    <row r="103" spans="1:16" x14ac:dyDescent="0.25">
      <c r="A103" s="1" t="s">
        <v>78</v>
      </c>
      <c r="B103" s="28" t="s">
        <v>267</v>
      </c>
      <c r="C103" t="s">
        <v>215</v>
      </c>
      <c r="D103" s="51">
        <f>VLOOKUP($A103,import!$A:$G,MATCH(lookup_helper!D$1,import!$A$1:$G$1,0),FALSE)</f>
        <v>1514.9185542168671</v>
      </c>
      <c r="E103">
        <f>VLOOKUP($A103,import!$A:$G,MATCH(lookup_helper!E$1,import!$A$1:$G$1,0),FALSE)</f>
        <v>0</v>
      </c>
      <c r="F103">
        <f>VLOOKUP($A103,import!$A:$G,MATCH(lookup_helper!F$1,import!$A$1:$G$1,0),FALSE)</f>
        <v>0</v>
      </c>
      <c r="G103">
        <f>VLOOKUP($A103,import!$A:$G,MATCH(lookup_helper!G$1,import!$A$1:$G$1,0),FALSE)</f>
        <v>0</v>
      </c>
      <c r="H103">
        <f>VLOOKUP($A103,import!$A:$G,MATCH(lookup_helper!H$1,import!$A$1:$G$1,0),FALSE)</f>
        <v>0</v>
      </c>
      <c r="I103">
        <f>VLOOKUP($A103,import!$A:$G,MATCH(lookup_helper!I$1,import!$A$1:$G$1,0),FALSE)</f>
        <v>0</v>
      </c>
      <c r="J103" t="s">
        <v>261</v>
      </c>
      <c r="P103" s="28"/>
    </row>
    <row r="104" spans="1:16" x14ac:dyDescent="0.25">
      <c r="A104" t="s">
        <v>79</v>
      </c>
      <c r="B104" s="28" t="s">
        <v>264</v>
      </c>
      <c r="C104" t="s">
        <v>215</v>
      </c>
      <c r="D104" s="51">
        <f>VLOOKUP($A104,import!$A:$G,MATCH(lookup_helper!D$1,import!$A$1:$G$1,0),FALSE)</f>
        <v>1.2211646586345379</v>
      </c>
      <c r="E104">
        <f>VLOOKUP($A104,import!$A:$G,MATCH(lookup_helper!E$1,import!$A$1:$G$1,0),FALSE)</f>
        <v>0</v>
      </c>
      <c r="F104">
        <f>VLOOKUP($A104,import!$A:$G,MATCH(lookup_helper!F$1,import!$A$1:$G$1,0),FALSE)</f>
        <v>0</v>
      </c>
      <c r="G104">
        <f>VLOOKUP($A104,import!$A:$G,MATCH(lookup_helper!G$1,import!$A$1:$G$1,0),FALSE)</f>
        <v>0</v>
      </c>
      <c r="H104">
        <f>VLOOKUP($A104,import!$A:$G,MATCH(lookup_helper!H$1,import!$A$1:$G$1,0),FALSE)</f>
        <v>0</v>
      </c>
      <c r="I104">
        <f>VLOOKUP($A104,import!$A:$G,MATCH(lookup_helper!I$1,import!$A$1:$G$1,0),FALSE)</f>
        <v>0</v>
      </c>
      <c r="J104" t="s">
        <v>262</v>
      </c>
      <c r="P104" s="28"/>
    </row>
    <row r="105" spans="1:16" x14ac:dyDescent="0.25">
      <c r="A105" t="s">
        <v>80</v>
      </c>
      <c r="B105" s="28" t="s">
        <v>265</v>
      </c>
      <c r="C105" t="s">
        <v>215</v>
      </c>
      <c r="D105" s="51">
        <f>VLOOKUP($A105,import!$A:$G,MATCH(lookup_helper!D$1,import!$A$1:$G$1,0),FALSE)</f>
        <v>5.2928514056224891</v>
      </c>
      <c r="E105">
        <f>VLOOKUP($A105,import!$A:$G,MATCH(lookup_helper!E$1,import!$A$1:$G$1,0),FALSE)</f>
        <v>0</v>
      </c>
      <c r="F105">
        <f>VLOOKUP($A105,import!$A:$G,MATCH(lookup_helper!F$1,import!$A$1:$G$1,0),FALSE)</f>
        <v>0</v>
      </c>
      <c r="G105">
        <f>VLOOKUP($A105,import!$A:$G,MATCH(lookup_helper!G$1,import!$A$1:$G$1,0),FALSE)</f>
        <v>0</v>
      </c>
      <c r="H105">
        <f>VLOOKUP($A105,import!$A:$G,MATCH(lookup_helper!H$1,import!$A$1:$G$1,0),FALSE)</f>
        <v>0</v>
      </c>
      <c r="I105">
        <f>VLOOKUP($A105,import!$A:$G,MATCH(lookup_helper!I$1,import!$A$1:$G$1,0),FALSE)</f>
        <v>0</v>
      </c>
      <c r="J105" t="s">
        <v>262</v>
      </c>
      <c r="P105" s="28"/>
    </row>
    <row r="106" spans="1:16" x14ac:dyDescent="0.25">
      <c r="A106" t="s">
        <v>81</v>
      </c>
      <c r="B106" s="28" t="s">
        <v>266</v>
      </c>
      <c r="C106" t="s">
        <v>215</v>
      </c>
      <c r="D106" s="51">
        <f>VLOOKUP($A106,import!$A:$G,MATCH(lookup_helper!D$1,import!$A$1:$G$1,0),FALSE)</f>
        <v>94.170281124498004</v>
      </c>
      <c r="E106">
        <f>VLOOKUP($A106,import!$A:$G,MATCH(lookup_helper!E$1,import!$A$1:$G$1,0),FALSE)</f>
        <v>0</v>
      </c>
      <c r="F106">
        <f>VLOOKUP($A106,import!$A:$G,MATCH(lookup_helper!F$1,import!$A$1:$G$1,0),FALSE)</f>
        <v>0</v>
      </c>
      <c r="G106">
        <f>VLOOKUP($A106,import!$A:$G,MATCH(lookup_helper!G$1,import!$A$1:$G$1,0),FALSE)</f>
        <v>0</v>
      </c>
      <c r="H106">
        <f>VLOOKUP($A106,import!$A:$G,MATCH(lookup_helper!H$1,import!$A$1:$G$1,0),FALSE)</f>
        <v>0</v>
      </c>
      <c r="I106">
        <f>VLOOKUP($A106,import!$A:$G,MATCH(lookup_helper!I$1,import!$A$1:$G$1,0),FALSE)</f>
        <v>0</v>
      </c>
      <c r="J106" t="s">
        <v>262</v>
      </c>
      <c r="P106" s="28"/>
    </row>
    <row r="107" spans="1:16" x14ac:dyDescent="0.25">
      <c r="A107" t="s">
        <v>82</v>
      </c>
      <c r="B107" s="28" t="s">
        <v>267</v>
      </c>
      <c r="C107" t="s">
        <v>215</v>
      </c>
      <c r="D107" s="51">
        <f>VLOOKUP($A107,import!$A:$G,MATCH(lookup_helper!D$1,import!$A$1:$G$1,0),FALSE)</f>
        <v>10.89180722891566</v>
      </c>
      <c r="E107">
        <f>VLOOKUP($A107,import!$A:$G,MATCH(lookup_helper!E$1,import!$A$1:$G$1,0),FALSE)</f>
        <v>0</v>
      </c>
      <c r="F107">
        <f>VLOOKUP($A107,import!$A:$G,MATCH(lookup_helper!F$1,import!$A$1:$G$1,0),FALSE)</f>
        <v>0</v>
      </c>
      <c r="G107">
        <f>VLOOKUP($A107,import!$A:$G,MATCH(lookup_helper!G$1,import!$A$1:$G$1,0),FALSE)</f>
        <v>0</v>
      </c>
      <c r="H107">
        <f>VLOOKUP($A107,import!$A:$G,MATCH(lookup_helper!H$1,import!$A$1:$G$1,0),FALSE)</f>
        <v>0</v>
      </c>
      <c r="I107">
        <f>VLOOKUP($A107,import!$A:$G,MATCH(lookup_helper!I$1,import!$A$1:$G$1,0),FALSE)</f>
        <v>0</v>
      </c>
      <c r="J107" t="s">
        <v>262</v>
      </c>
      <c r="P107" s="28"/>
    </row>
    <row r="108" spans="1:16" x14ac:dyDescent="0.25">
      <c r="A108" t="s">
        <v>83</v>
      </c>
      <c r="B108" s="28" t="s">
        <v>264</v>
      </c>
      <c r="C108" t="s">
        <v>215</v>
      </c>
      <c r="D108" s="51">
        <f>VLOOKUP($A108,import!$A:$G,MATCH(lookup_helper!D$1,import!$A$1:$G$1,0),FALSE)</f>
        <v>7.5514457831325306</v>
      </c>
      <c r="E108">
        <f>VLOOKUP($A108,import!$A:$G,MATCH(lookup_helper!E$1,import!$A$1:$G$1,0),FALSE)</f>
        <v>0</v>
      </c>
      <c r="F108">
        <f>VLOOKUP($A108,import!$A:$G,MATCH(lookup_helper!F$1,import!$A$1:$G$1,0),FALSE)</f>
        <v>0</v>
      </c>
      <c r="G108">
        <f>VLOOKUP($A108,import!$A:$G,MATCH(lookup_helper!G$1,import!$A$1:$G$1,0),FALSE)</f>
        <v>0</v>
      </c>
      <c r="H108">
        <f>VLOOKUP($A108,import!$A:$G,MATCH(lookup_helper!H$1,import!$A$1:$G$1,0),FALSE)</f>
        <v>0</v>
      </c>
      <c r="I108">
        <f>VLOOKUP($A108,import!$A:$G,MATCH(lookup_helper!I$1,import!$A$1:$G$1,0),FALSE)</f>
        <v>0</v>
      </c>
      <c r="J108" t="s">
        <v>263</v>
      </c>
      <c r="P108" s="28"/>
    </row>
    <row r="109" spans="1:16" x14ac:dyDescent="0.25">
      <c r="A109" t="s">
        <v>84</v>
      </c>
      <c r="B109" s="28" t="s">
        <v>265</v>
      </c>
      <c r="C109" t="s">
        <v>215</v>
      </c>
      <c r="D109" s="51">
        <f>VLOOKUP($A109,import!$A:$G,MATCH(lookup_helper!D$1,import!$A$1:$G$1,0),FALSE)</f>
        <v>19.925100401606429</v>
      </c>
      <c r="E109">
        <f>VLOOKUP($A109,import!$A:$G,MATCH(lookup_helper!E$1,import!$A$1:$G$1,0),FALSE)</f>
        <v>0</v>
      </c>
      <c r="F109">
        <f>VLOOKUP($A109,import!$A:$G,MATCH(lookup_helper!F$1,import!$A$1:$G$1,0),FALSE)</f>
        <v>0</v>
      </c>
      <c r="G109">
        <f>VLOOKUP($A109,import!$A:$G,MATCH(lookup_helper!G$1,import!$A$1:$G$1,0),FALSE)</f>
        <v>0</v>
      </c>
      <c r="H109">
        <f>VLOOKUP($A109,import!$A:$G,MATCH(lookup_helper!H$1,import!$A$1:$G$1,0),FALSE)</f>
        <v>0</v>
      </c>
      <c r="I109">
        <f>VLOOKUP($A109,import!$A:$G,MATCH(lookup_helper!I$1,import!$A$1:$G$1,0),FALSE)</f>
        <v>0</v>
      </c>
      <c r="J109" t="s">
        <v>263</v>
      </c>
      <c r="P109" s="28"/>
    </row>
    <row r="110" spans="1:16" x14ac:dyDescent="0.25">
      <c r="A110" t="s">
        <v>85</v>
      </c>
      <c r="B110" s="28" t="s">
        <v>268</v>
      </c>
      <c r="C110" t="s">
        <v>215</v>
      </c>
      <c r="D110" s="51">
        <f>VLOOKUP($A110,import!$A:$G,MATCH(lookup_helper!D$1,import!$A$1:$G$1,0),FALSE)</f>
        <v>238.27309236947789</v>
      </c>
      <c r="E110">
        <f>VLOOKUP($A110,import!$A:$G,MATCH(lookup_helper!E$1,import!$A$1:$G$1,0),FALSE)</f>
        <v>0</v>
      </c>
      <c r="F110">
        <f>VLOOKUP($A110,import!$A:$G,MATCH(lookup_helper!F$1,import!$A$1:$G$1,0),FALSE)</f>
        <v>0</v>
      </c>
      <c r="G110">
        <f>VLOOKUP($A110,import!$A:$G,MATCH(lookup_helper!G$1,import!$A$1:$G$1,0),FALSE)</f>
        <v>0</v>
      </c>
      <c r="H110">
        <f>VLOOKUP($A110,import!$A:$G,MATCH(lookup_helper!H$1,import!$A$1:$G$1,0),FALSE)</f>
        <v>0</v>
      </c>
      <c r="I110">
        <f>VLOOKUP($A110,import!$A:$G,MATCH(lookup_helper!I$1,import!$A$1:$G$1,0),FALSE)</f>
        <v>0</v>
      </c>
      <c r="J110" t="s">
        <v>263</v>
      </c>
      <c r="P110" s="28"/>
    </row>
    <row r="111" spans="1:16" x14ac:dyDescent="0.25">
      <c r="A111" t="s">
        <v>86</v>
      </c>
      <c r="B111" s="28" t="s">
        <v>267</v>
      </c>
      <c r="C111" t="s">
        <v>215</v>
      </c>
      <c r="D111" s="51">
        <f>VLOOKUP($A111,import!$A:$G,MATCH(lookup_helper!D$1,import!$A$1:$G$1,0),FALSE)</f>
        <v>51.080883534136547</v>
      </c>
      <c r="E111">
        <f>VLOOKUP($A111,import!$A:$G,MATCH(lookup_helper!E$1,import!$A$1:$G$1,0),FALSE)</f>
        <v>0</v>
      </c>
      <c r="F111">
        <f>VLOOKUP($A111,import!$A:$G,MATCH(lookup_helper!F$1,import!$A$1:$G$1,0),FALSE)</f>
        <v>0</v>
      </c>
      <c r="G111">
        <f>VLOOKUP($A111,import!$A:$G,MATCH(lookup_helper!G$1,import!$A$1:$G$1,0),FALSE)</f>
        <v>0</v>
      </c>
      <c r="H111">
        <f>VLOOKUP($A111,import!$A:$G,MATCH(lookup_helper!H$1,import!$A$1:$G$1,0),FALSE)</f>
        <v>0</v>
      </c>
      <c r="I111">
        <f>VLOOKUP($A111,import!$A:$G,MATCH(lookup_helper!I$1,import!$A$1:$G$1,0),FALSE)</f>
        <v>0</v>
      </c>
      <c r="J111" t="s">
        <v>263</v>
      </c>
      <c r="P111" s="28"/>
    </row>
    <row r="112" spans="1:16" x14ac:dyDescent="0.25">
      <c r="A112" t="s">
        <v>1</v>
      </c>
      <c r="B112" s="28" t="s">
        <v>129</v>
      </c>
      <c r="C112" t="s">
        <v>203</v>
      </c>
      <c r="D112" t="str">
        <f>VLOOKUP($A112,import!$A:$G,MATCH(lookup_helper!D$1,import!$A$1:$G$1,0),FALSE)</f>
        <v>test_project_YubaCity</v>
      </c>
      <c r="E112">
        <f>VLOOKUP($A112,import!$A:$G,MATCH(lookup_helper!E$1,import!$A$1:$G$1,0),FALSE)</f>
        <v>0</v>
      </c>
      <c r="F112">
        <f>VLOOKUP($A112,import!$A:$G,MATCH(lookup_helper!F$1,import!$A$1:$G$1,0),FALSE)</f>
        <v>0</v>
      </c>
      <c r="G112">
        <f>VLOOKUP($A112,import!$A:$G,MATCH(lookup_helper!G$1,import!$A$1:$G$1,0),FALSE)</f>
        <v>0</v>
      </c>
      <c r="H112">
        <f>VLOOKUP($A112,import!$A:$G,MATCH(lookup_helper!H$1,import!$A$1:$G$1,0),FALSE)</f>
        <v>0</v>
      </c>
      <c r="I112">
        <f>VLOOKUP($A112,import!$A:$G,MATCH(lookup_helper!I$1,import!$A$1:$G$1,0),FALSE)</f>
        <v>0</v>
      </c>
    </row>
    <row r="113" spans="1:9" x14ac:dyDescent="0.25">
      <c r="A113" t="s">
        <v>284</v>
      </c>
      <c r="B113" s="28" t="s">
        <v>283</v>
      </c>
      <c r="C113" t="s">
        <v>203</v>
      </c>
      <c r="D113" t="str">
        <f>VLOOKUP($A113,import!$A:$G,MATCH(lookup_helper!D$1,import!$A$1:$G$1,0),FALSE)</f>
        <v>anyplace</v>
      </c>
      <c r="E113">
        <f>VLOOKUP($A113,import!$A:$G,MATCH(lookup_helper!E$1,import!$A$1:$G$1,0),FALSE)</f>
        <v>0</v>
      </c>
      <c r="F113">
        <f>VLOOKUP($A113,import!$A:$G,MATCH(lookup_helper!F$1,import!$A$1:$G$1,0),FALSE)</f>
        <v>0</v>
      </c>
      <c r="G113">
        <f>VLOOKUP($A113,import!$A:$G,MATCH(lookup_helper!G$1,import!$A$1:$G$1,0),FALSE)</f>
        <v>0</v>
      </c>
      <c r="H113">
        <f>VLOOKUP($A113,import!$A:$G,MATCH(lookup_helper!H$1,import!$A$1:$G$1,0),FALSE)</f>
        <v>0</v>
      </c>
      <c r="I113">
        <f>VLOOKUP($A113,import!$A:$G,MATCH(lookup_helper!I$1,import!$A$1:$G$1,0),FALSE)</f>
        <v>0</v>
      </c>
    </row>
    <row r="114" spans="1:9" x14ac:dyDescent="0.25">
      <c r="A114" t="s">
        <v>2</v>
      </c>
      <c r="B114" s="28" t="s">
        <v>130</v>
      </c>
      <c r="C114" t="s">
        <v>203</v>
      </c>
      <c r="D114" t="str">
        <f>VLOOKUP($A114,import!$A:$G,MATCH(lookup_helper!D$1,import!$A$1:$G$1,0),FALSE)</f>
        <v>Freeway</v>
      </c>
      <c r="E114">
        <f>VLOOKUP($A114,import!$A:$G,MATCH(lookup_helper!E$1,import!$A$1:$G$1,0),FALSE)</f>
        <v>0</v>
      </c>
      <c r="F114">
        <f>VLOOKUP($A114,import!$A:$G,MATCH(lookup_helper!F$1,import!$A$1:$G$1,0),FALSE)</f>
        <v>0</v>
      </c>
      <c r="G114">
        <f>VLOOKUP($A114,import!$A:$G,MATCH(lookup_helper!G$1,import!$A$1:$G$1,0),FALSE)</f>
        <v>0</v>
      </c>
      <c r="H114">
        <f>VLOOKUP($A114,import!$A:$G,MATCH(lookup_helper!H$1,import!$A$1:$G$1,0),FALSE)</f>
        <v>0</v>
      </c>
      <c r="I114">
        <f>VLOOKUP($A114,import!$A:$G,MATCH(lookup_helper!I$1,import!$A$1:$G$1,0),FALSE)</f>
        <v>0</v>
      </c>
    </row>
    <row r="115" spans="1:9" x14ac:dyDescent="0.25">
      <c r="A115" t="s">
        <v>3</v>
      </c>
      <c r="B115" s="28" t="s">
        <v>131</v>
      </c>
      <c r="C115" t="s">
        <v>203</v>
      </c>
      <c r="D115">
        <f>VLOOKUP($A115,import!$A:$G,MATCH(lookup_helper!D$1,import!$A$1:$G$1,0),FALSE)</f>
        <v>60000</v>
      </c>
      <c r="E115">
        <f>VLOOKUP($A115,import!$A:$G,MATCH(lookup_helper!E$1,import!$A$1:$G$1,0),FALSE)</f>
        <v>0</v>
      </c>
      <c r="F115">
        <f>VLOOKUP($A115,import!$A:$G,MATCH(lookup_helper!F$1,import!$A$1:$G$1,0),FALSE)</f>
        <v>0</v>
      </c>
      <c r="G115">
        <f>VLOOKUP($A115,import!$A:$G,MATCH(lookup_helper!G$1,import!$A$1:$G$1,0),FALSE)</f>
        <v>0</v>
      </c>
      <c r="H115">
        <f>VLOOKUP($A115,import!$A:$G,MATCH(lookup_helper!H$1,import!$A$1:$G$1,0),FALSE)</f>
        <v>0</v>
      </c>
      <c r="I115">
        <f>VLOOKUP($A115,import!$A:$G,MATCH(lookup_helper!I$1,import!$A$1:$G$1,0),FALSE)</f>
        <v>0</v>
      </c>
    </row>
    <row r="116" spans="1:9" x14ac:dyDescent="0.25">
      <c r="A116" t="s">
        <v>4</v>
      </c>
      <c r="B116" s="28" t="s">
        <v>132</v>
      </c>
      <c r="C116" t="s">
        <v>203</v>
      </c>
      <c r="D116">
        <f>VLOOKUP($A116,import!$A:$G,MATCH(lookup_helper!D$1,import!$A$1:$G$1,0),FALSE)</f>
        <v>60</v>
      </c>
      <c r="E116">
        <f>VLOOKUP($A116,import!$A:$G,MATCH(lookup_helper!E$1,import!$A$1:$G$1,0),FALSE)</f>
        <v>0</v>
      </c>
      <c r="F116">
        <f>VLOOKUP($A116,import!$A:$G,MATCH(lookup_helper!F$1,import!$A$1:$G$1,0),FALSE)</f>
        <v>0</v>
      </c>
      <c r="G116">
        <f>VLOOKUP($A116,import!$A:$G,MATCH(lookup_helper!G$1,import!$A$1:$G$1,0),FALSE)</f>
        <v>0</v>
      </c>
      <c r="H116">
        <f>VLOOKUP($A116,import!$A:$G,MATCH(lookup_helper!H$1,import!$A$1:$G$1,0),FALSE)</f>
        <v>0</v>
      </c>
      <c r="I116">
        <f>VLOOKUP($A116,import!$A:$G,MATCH(lookup_helper!I$1,import!$A$1:$G$1,0),FALSE)</f>
        <v>0</v>
      </c>
    </row>
    <row r="117" spans="1:9" x14ac:dyDescent="0.25">
      <c r="A117" t="s">
        <v>5</v>
      </c>
      <c r="B117" s="28" t="s">
        <v>133</v>
      </c>
      <c r="C117" t="s">
        <v>203</v>
      </c>
      <c r="D117">
        <f>VLOOKUP($A117,import!$A:$G,MATCH(lookup_helper!D$1,import!$A$1:$G$1,0),FALSE)</f>
        <v>65</v>
      </c>
      <c r="E117">
        <f>VLOOKUP($A117,import!$A:$G,MATCH(lookup_helper!E$1,import!$A$1:$G$1,0),FALSE)</f>
        <v>0</v>
      </c>
      <c r="F117">
        <f>VLOOKUP($A117,import!$A:$G,MATCH(lookup_helper!F$1,import!$A$1:$G$1,0),FALSE)</f>
        <v>0</v>
      </c>
      <c r="G117">
        <f>VLOOKUP($A117,import!$A:$G,MATCH(lookup_helper!G$1,import!$A$1:$G$1,0),FALSE)</f>
        <v>0</v>
      </c>
      <c r="H117">
        <f>VLOOKUP($A117,import!$A:$G,MATCH(lookup_helper!H$1,import!$A$1:$G$1,0),FALSE)</f>
        <v>0</v>
      </c>
      <c r="I117">
        <f>VLOOKUP($A117,import!$A:$G,MATCH(lookup_helper!I$1,import!$A$1:$G$1,0),FALSE)</f>
        <v>0</v>
      </c>
    </row>
    <row r="118" spans="1:9" x14ac:dyDescent="0.25">
      <c r="A118" t="s">
        <v>251</v>
      </c>
      <c r="B118" s="28" t="s">
        <v>252</v>
      </c>
      <c r="C118" t="s">
        <v>203</v>
      </c>
      <c r="D118">
        <f>VLOOKUP($A118,import!$A:$G,MATCH(lookup_helper!D$1,import!$A$1:$G$1,0),FALSE)</f>
        <v>1.41</v>
      </c>
      <c r="E118">
        <f>VLOOKUP($A118,import!$A:$G,MATCH(lookup_helper!E$1,import!$A$1:$G$1,0),FALSE)</f>
        <v>0</v>
      </c>
      <c r="F118">
        <f>VLOOKUP($A118,import!$A:$G,MATCH(lookup_helper!F$1,import!$A$1:$G$1,0),FALSE)</f>
        <v>0</v>
      </c>
      <c r="G118">
        <f>VLOOKUP($A118,import!$A:$G,MATCH(lookup_helper!G$1,import!$A$1:$G$1,0),FALSE)</f>
        <v>0</v>
      </c>
      <c r="H118">
        <f>VLOOKUP($A118,import!$A:$G,MATCH(lookup_helper!H$1,import!$A$1:$G$1,0),FALSE)</f>
        <v>0</v>
      </c>
      <c r="I118">
        <f>VLOOKUP($A118,import!$A:$G,MATCH(lookup_helper!I$1,import!$A$1:$G$1,0),FALSE)</f>
        <v>0</v>
      </c>
    </row>
    <row r="119" spans="1:9" x14ac:dyDescent="0.25">
      <c r="A119" t="s">
        <v>6</v>
      </c>
      <c r="B119" s="28" t="s">
        <v>134</v>
      </c>
      <c r="C119" t="s">
        <v>203</v>
      </c>
      <c r="D119" t="str">
        <f>VLOOKUP($A119,import!$A:$G,MATCH(lookup_helper!D$1,import!$A$1:$G$1,0),FALSE)</f>
        <v>Small-Town Established Communities</v>
      </c>
      <c r="E119">
        <f>VLOOKUP($A119,import!$A:$G,MATCH(lookup_helper!E$1,import!$A$1:$G$1,0),FALSE)</f>
        <v>0</v>
      </c>
      <c r="F119">
        <f>VLOOKUP($A119,import!$A:$G,MATCH(lookup_helper!F$1,import!$A$1:$G$1,0),FALSE)</f>
        <v>0</v>
      </c>
      <c r="G119">
        <f>VLOOKUP($A119,import!$A:$G,MATCH(lookup_helper!G$1,import!$A$1:$G$1,0),FALSE)</f>
        <v>0</v>
      </c>
      <c r="H119">
        <f>VLOOKUP($A119,import!$A:$G,MATCH(lookup_helper!H$1,import!$A$1:$G$1,0),FALSE)</f>
        <v>0</v>
      </c>
      <c r="I119">
        <f>VLOOKUP($A119,import!$A:$G,MATCH(lookup_helper!I$1,import!$A$1:$G$1,0),FALSE)</f>
        <v>0</v>
      </c>
    </row>
  </sheetData>
  <sortState xmlns:xlrd2="http://schemas.microsoft.com/office/spreadsheetml/2017/richdata2" ref="A4:I119">
    <sortCondition ref="C4:C119"/>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14</vt:i4>
      </vt:variant>
    </vt:vector>
  </HeadingPairs>
  <TitlesOfParts>
    <vt:vector size="26" baseType="lpstr">
      <vt:lpstr>0ATitlePg</vt:lpstr>
      <vt:lpstr>0BUsingThisReport</vt:lpstr>
      <vt:lpstr>1ReduceVMT</vt:lpstr>
      <vt:lpstr>2ReduceCongestion</vt:lpstr>
      <vt:lpstr>3Multimodal</vt:lpstr>
      <vt:lpstr>4EconProsperity</vt:lpstr>
      <vt:lpstr>5Freight</vt:lpstr>
      <vt:lpstr>6Safety</vt:lpstr>
      <vt:lpstr>7SGR</vt:lpstr>
      <vt:lpstr>8SocioEconEquity</vt:lpstr>
      <vt:lpstr>import</vt:lpstr>
      <vt:lpstr>lookup_helper</vt:lpstr>
      <vt:lpstr>'4EconProsperity'!_Hlk20929805</vt:lpstr>
      <vt:lpstr>'7SGR'!_Hlk20929868</vt:lpstr>
      <vt:lpstr>'1ReduceVMT'!Print_Area</vt:lpstr>
      <vt:lpstr>'3Multimodal'!Print_Area</vt:lpstr>
      <vt:lpstr>'5Freight'!Print_Area</vt:lpstr>
      <vt:lpstr>'8SocioEconEquity'!Print_Area</vt:lpstr>
      <vt:lpstr>'1ReduceVMT'!Print_Titles</vt:lpstr>
      <vt:lpstr>'2ReduceCongestion'!Print_Titles</vt:lpstr>
      <vt:lpstr>'3Multimodal'!Print_Titles</vt:lpstr>
      <vt:lpstr>'4EconProsperity'!Print_Titles</vt:lpstr>
      <vt:lpstr>'5Freight'!Print_Titles</vt:lpstr>
      <vt:lpstr>'6Safety'!Print_Titles</vt:lpstr>
      <vt:lpstr>'7SGR'!Print_Titles</vt:lpstr>
      <vt:lpstr>'8SocioEconEquity'!Print_Titles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Darren Conly</cp:lastModifiedBy>
  <cp:lastPrinted>2020-08-25T18:58:14Z</cp:lastPrinted>
  <dcterms:created xsi:type="dcterms:W3CDTF">2020-01-07T23:38:49Z</dcterms:created>
  <dcterms:modified xsi:type="dcterms:W3CDTF">2022-02-09T19:13:14Z</dcterms:modified>
</cp:coreProperties>
</file>