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s" sheetId="1" state="visible" r:id="rId2"/>
    <sheet name="Sheet1" sheetId="2" state="visible" r:id="rId3"/>
    <sheet name="Metadata" sheetId="3" state="visible" r:id="rId4"/>
    <sheet name="Unique values by fiel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73" authorId="0">
      <text>
        <r>
          <rPr>
            <sz val="11"/>
            <color rgb="FF000000"/>
            <rFont val="Arial"/>
            <family val="0"/>
            <charset val="1"/>
          </rPr>
          <t xml:space="preserve">+jasper@saeon.ac.za  sshould I make this ground water elevation? like fynbos
_Assigned to you_
	-Sue van Rensburg
Elevation means height above sea level, doesn't it? I don't think that's what Julia is measuring or is it?. I think ours is wrong.
	-Abri de Buys
I agree. I'd go with level
	-Jasper Slingsby</t>
        </r>
      </text>
    </comment>
  </commentList>
</comments>
</file>

<file path=xl/sharedStrings.xml><?xml version="1.0" encoding="utf-8"?>
<sst xmlns="http://schemas.openxmlformats.org/spreadsheetml/2006/main" count="4549" uniqueCount="639">
  <si>
    <t xml:space="preserve">Owner</t>
  </si>
  <si>
    <t xml:space="preserve">Node</t>
  </si>
  <si>
    <t xml:space="preserve">Site</t>
  </si>
  <si>
    <t xml:space="preserve">Station name</t>
  </si>
  <si>
    <t xml:space="preserve">Latitude</t>
  </si>
  <si>
    <t xml:space="preserve">Longitude</t>
  </si>
  <si>
    <t xml:space="preserve">Elevation</t>
  </si>
  <si>
    <t xml:space="preserve">Class</t>
  </si>
  <si>
    <t xml:space="preserve">Description</t>
  </si>
  <si>
    <t xml:space="preserve">Description - edited</t>
  </si>
  <si>
    <t xml:space="preserve">Variables</t>
  </si>
  <si>
    <t xml:space="preserve">Resolution</t>
  </si>
  <si>
    <t xml:space="preserve">Active</t>
  </si>
  <si>
    <t xml:space="preserve">DownloadType</t>
  </si>
  <si>
    <t xml:space="preserve">DownloadFrequency</t>
  </si>
  <si>
    <t xml:space="preserve">SAEON</t>
  </si>
  <si>
    <t xml:space="preserve">Fynbos</t>
  </si>
  <si>
    <t xml:space="preserve">Jonkershoek</t>
  </si>
  <si>
    <t xml:space="preserve">Bosboukloof</t>
  </si>
  <si>
    <t xml:space="preserve">Hydrological</t>
  </si>
  <si>
    <t xml:space="preserve">Weir</t>
  </si>
  <si>
    <t xml:space="preserve">Water level &amp; temperature - weir</t>
  </si>
  <si>
    <t xml:space="preserve">Water level, water temp</t>
  </si>
  <si>
    <t xml:space="preserve">Hourly</t>
  </si>
  <si>
    <t xml:space="preserve">Yes</t>
  </si>
  <si>
    <t xml:space="preserve">Telemetry</t>
  </si>
  <si>
    <t xml:space="preserve">Daily</t>
  </si>
  <si>
    <t xml:space="preserve">Lambrechtsbos A</t>
  </si>
  <si>
    <t xml:space="preserve">Lambrechtsbos B</t>
  </si>
  <si>
    <t xml:space="preserve">Biesievlei</t>
  </si>
  <si>
    <t xml:space="preserve">Tierkloof</t>
  </si>
  <si>
    <t xml:space="preserve">Langrivier</t>
  </si>
  <si>
    <t xml:space="preserve">5B</t>
  </si>
  <si>
    <t xml:space="preserve">Meteorological</t>
  </si>
  <si>
    <t xml:space="preserve">Tipping bucket rain gauge</t>
  </si>
  <si>
    <t xml:space="preserve">Rainfall, air temp</t>
  </si>
  <si>
    <t xml:space="preserve">Event, hourly</t>
  </si>
  <si>
    <t xml:space="preserve">Manual</t>
  </si>
  <si>
    <t xml:space="preserve">Monthly</t>
  </si>
  <si>
    <t xml:space="preserve">7B</t>
  </si>
  <si>
    <t xml:space="preserve">8B</t>
  </si>
  <si>
    <t xml:space="preserve">9B</t>
  </si>
  <si>
    <t xml:space="preserve">11B</t>
  </si>
  <si>
    <t xml:space="preserve">12B</t>
  </si>
  <si>
    <t xml:space="preserve">13B</t>
  </si>
  <si>
    <t xml:space="preserve">14B</t>
  </si>
  <si>
    <t xml:space="preserve">15B</t>
  </si>
  <si>
    <t xml:space="preserve">19B</t>
  </si>
  <si>
    <t xml:space="preserve">20B</t>
  </si>
  <si>
    <t xml:space="preserve">21B</t>
  </si>
  <si>
    <t xml:space="preserve">25B</t>
  </si>
  <si>
    <t xml:space="preserve">26B</t>
  </si>
  <si>
    <t xml:space="preserve">Dwarsberg weather station</t>
  </si>
  <si>
    <t xml:space="preserve">Automatic Weather Station</t>
  </si>
  <si>
    <t xml:space="preserve">Rainfall, fog, air temp, RH, net rad, wind s&amp;d, soil moisture, soil temp, barometer</t>
  </si>
  <si>
    <t xml:space="preserve">Hourly, daily</t>
  </si>
  <si>
    <t xml:space="preserve">Langrivier 800 fog station</t>
  </si>
  <si>
    <t xml:space="preserve">Rainfall, fog, air temp, RH, wind s&amp;d</t>
  </si>
  <si>
    <t xml:space="preserve">5 minutes, Hourly, Daily</t>
  </si>
  <si>
    <t xml:space="preserve">Langrivier 700 fog station</t>
  </si>
  <si>
    <t xml:space="preserve">Langrivier 600 fog station</t>
  </si>
  <si>
    <t xml:space="preserve">Langrivier 500 fog station</t>
  </si>
  <si>
    <t xml:space="preserve">Jonkershoek eddy covariance </t>
  </si>
  <si>
    <t xml:space="preserve">Micro meteorological</t>
  </si>
  <si>
    <t xml:space="preserve">Extended open path eddy covariance</t>
  </si>
  <si>
    <t xml:space="preserve">CO2 &amp; H2O exchange - eddy covariance </t>
  </si>
  <si>
    <t xml:space="preserve">CO2 + H2O flux, net radiation, soil heat flux, rainfall, soil &amp; air temperature, humidity, soil moisture, wind s&amp;d</t>
  </si>
  <si>
    <t xml:space="preserve">20Hz samples, Half hourly corrected fluxes</t>
  </si>
  <si>
    <t xml:space="preserve">Telemetry and manual</t>
  </si>
  <si>
    <t xml:space="preserve">Daily &amp; 3 weekly for manual</t>
  </si>
  <si>
    <t xml:space="preserve">Cape Peninsula</t>
  </si>
  <si>
    <t xml:space="preserve">Hospital Bend weather station</t>
  </si>
  <si>
    <t xml:space="preserve">Rainfall, air temp, RH, wind s&amp;d, solar rad, barometer</t>
  </si>
  <si>
    <t xml:space="preserve">No</t>
  </si>
  <si>
    <t xml:space="preserve">Hospital Bend rain station</t>
  </si>
  <si>
    <t xml:space="preserve">Hospital Bend A Top soil moisture</t>
  </si>
  <si>
    <t xml:space="preserve">Soil Moisture Probe</t>
  </si>
  <si>
    <t xml:space="preserve">Soil Moisture - TDR probe</t>
  </si>
  <si>
    <t xml:space="preserve">Soil moisture, soil temp</t>
  </si>
  <si>
    <t xml:space="preserve">Hourly, Daily</t>
  </si>
  <si>
    <t xml:space="preserve">Hospital Bend D Top soil moisture</t>
  </si>
  <si>
    <t xml:space="preserve">Hospital Bend D Bottom soil moisture</t>
  </si>
  <si>
    <t xml:space="preserve">Hospital Bend A Bottom soil moisture</t>
  </si>
  <si>
    <t xml:space="preserve">Constantiaberg weather station</t>
  </si>
  <si>
    <t xml:space="preserve">Rainfall, fog, air temp, RH, wind s&amp;d, soil moisture, soil temp</t>
  </si>
  <si>
    <t xml:space="preserve">Cederberg</t>
  </si>
  <si>
    <t xml:space="preserve">Sneeukop hut raingauge</t>
  </si>
  <si>
    <t xml:space="preserve">Quarterly</t>
  </si>
  <si>
    <t xml:space="preserve">Engelsmanskloof weather station</t>
  </si>
  <si>
    <t xml:space="preserve">Rainfall, air temp, RH, wind s&amp;d, solar radiation</t>
  </si>
  <si>
    <t xml:space="preserve">Sneeuberg raingauge</t>
  </si>
  <si>
    <t xml:space="preserve">ARC</t>
  </si>
  <si>
    <t xml:space="preserve">Swartboschkloof - Not SAEON</t>
  </si>
  <si>
    <t xml:space="preserve">Rainfall, air temp, RH, wind s&amp;d, solar rad</t>
  </si>
  <si>
    <t xml:space="preserve">ARC downloads</t>
  </si>
  <si>
    <t xml:space="preserve">SAWS</t>
  </si>
  <si>
    <t xml:space="preserve">Herehuis - Not SAEON</t>
  </si>
  <si>
    <t xml:space="preserve">Rainfall, air temp, RH, wind s&amp;d</t>
  </si>
  <si>
    <t xml:space="preserve">SAWS downloads</t>
  </si>
  <si>
    <t xml:space="preserve">SAEON/UC Berkeley</t>
  </si>
  <si>
    <t xml:space="preserve">DP01</t>
  </si>
  <si>
    <t xml:space="preserve">Temperature and humidity logger</t>
  </si>
  <si>
    <t xml:space="preserve">Air temperature &amp; humidity sensor</t>
  </si>
  <si>
    <t xml:space="preserve">Air temp, RH</t>
  </si>
  <si>
    <t xml:space="preserve">10 minutes</t>
  </si>
  <si>
    <t xml:space="preserve">DP03</t>
  </si>
  <si>
    <t xml:space="preserve">DP04</t>
  </si>
  <si>
    <t xml:space="preserve">DP05</t>
  </si>
  <si>
    <t xml:space="preserve">DP06</t>
  </si>
  <si>
    <t xml:space="preserve">E2.KBG</t>
  </si>
  <si>
    <t xml:space="preserve">E3.KBM</t>
  </si>
  <si>
    <t xml:space="preserve">E4.NB</t>
  </si>
  <si>
    <t xml:space="preserve">E5.CR</t>
  </si>
  <si>
    <t xml:space="preserve">E6.AQ</t>
  </si>
  <si>
    <t xml:space="preserve">E8.SG</t>
  </si>
  <si>
    <t xml:space="preserve">EV1</t>
  </si>
  <si>
    <t xml:space="preserve">EV2</t>
  </si>
  <si>
    <t xml:space="preserve">EV3</t>
  </si>
  <si>
    <t xml:space="preserve">EV4</t>
  </si>
  <si>
    <t xml:space="preserve">EV5</t>
  </si>
  <si>
    <t xml:space="preserve">KB2</t>
  </si>
  <si>
    <t xml:space="preserve">KB3</t>
  </si>
  <si>
    <t xml:space="preserve">KB4</t>
  </si>
  <si>
    <t xml:space="preserve">MP1</t>
  </si>
  <si>
    <t xml:space="preserve">MP2</t>
  </si>
  <si>
    <t xml:space="preserve">MP3</t>
  </si>
  <si>
    <t xml:space="preserve">MP4</t>
  </si>
  <si>
    <t xml:space="preserve">NDP2</t>
  </si>
  <si>
    <t xml:space="preserve">NDP6</t>
  </si>
  <si>
    <t xml:space="preserve">NDP7</t>
  </si>
  <si>
    <t xml:space="preserve">NDP8</t>
  </si>
  <si>
    <t xml:space="preserve">NDP9</t>
  </si>
  <si>
    <t xml:space="preserve">PSK1</t>
  </si>
  <si>
    <t xml:space="preserve">PSK5</t>
  </si>
  <si>
    <t xml:space="preserve">PSK6</t>
  </si>
  <si>
    <t xml:space="preserve">SME03</t>
  </si>
  <si>
    <t xml:space="preserve">SME04</t>
  </si>
  <si>
    <t xml:space="preserve">SME05</t>
  </si>
  <si>
    <t xml:space="preserve">SME06</t>
  </si>
  <si>
    <t xml:space="preserve">SME07</t>
  </si>
  <si>
    <t xml:space="preserve">SME16</t>
  </si>
  <si>
    <t xml:space="preserve">SME17</t>
  </si>
  <si>
    <t xml:space="preserve">SME18</t>
  </si>
  <si>
    <t xml:space="preserve">TA01</t>
  </si>
  <si>
    <t xml:space="preserve">TA02</t>
  </si>
  <si>
    <t xml:space="preserve">TA03</t>
  </si>
  <si>
    <t xml:space="preserve">TA04</t>
  </si>
  <si>
    <t xml:space="preserve">TA12</t>
  </si>
  <si>
    <t xml:space="preserve">TA13</t>
  </si>
  <si>
    <t xml:space="preserve">TB.CWU</t>
  </si>
  <si>
    <t xml:space="preserve">W2.CB1</t>
  </si>
  <si>
    <t xml:space="preserve">W3.CB2</t>
  </si>
  <si>
    <t xml:space="preserve">W3.CB4</t>
  </si>
  <si>
    <t xml:space="preserve">W4.P400v</t>
  </si>
  <si>
    <t xml:space="preserve">W5.P550</t>
  </si>
  <si>
    <t xml:space="preserve">W6.P700</t>
  </si>
  <si>
    <t xml:space="preserve">W7.BLK</t>
  </si>
  <si>
    <t xml:space="preserve">Cape Agulhas</t>
  </si>
  <si>
    <t xml:space="preserve">Waskraalvlei</t>
  </si>
  <si>
    <t xml:space="preserve">Solinst depth &amp; temp logger</t>
  </si>
  <si>
    <t xml:space="preserve">Water level &amp; temperature - piezometer</t>
  </si>
  <si>
    <t xml:space="preserve">water level and temperature</t>
  </si>
  <si>
    <t xml:space="preserve">30 min</t>
  </si>
  <si>
    <t xml:space="preserve">Y</t>
  </si>
  <si>
    <t xml:space="preserve">Langpan</t>
  </si>
  <si>
    <t xml:space="preserve">Voelvlei</t>
  </si>
  <si>
    <t xml:space="preserve">Solinst depth, temp &amp; conductivity logger</t>
  </si>
  <si>
    <t xml:space="preserve">water level, conductivity and temperature</t>
  </si>
  <si>
    <t xml:space="preserve">Rondepan</t>
  </si>
  <si>
    <t xml:space="preserve">Rhenosterkop pan</t>
  </si>
  <si>
    <t xml:space="preserve">Baviaanskloof</t>
  </si>
  <si>
    <t xml:space="preserve">RG_NW</t>
  </si>
  <si>
    <t xml:space="preserve">RG_RR</t>
  </si>
  <si>
    <t xml:space="preserve">RG_MF</t>
  </si>
  <si>
    <t xml:space="preserve">RG_BK-MT</t>
  </si>
  <si>
    <t xml:space="preserve">RG_BK-FP</t>
  </si>
  <si>
    <t xml:space="preserve">WS_JKF</t>
  </si>
  <si>
    <t xml:space="preserve">WS_JKH</t>
  </si>
  <si>
    <t xml:space="preserve">RG_GH</t>
  </si>
  <si>
    <t xml:space="preserve">BH-BR_NW</t>
  </si>
  <si>
    <t xml:space="preserve">Barometric logger</t>
  </si>
  <si>
    <t xml:space="preserve">Barometric pressure - pressure transducer corrections</t>
  </si>
  <si>
    <t xml:space="preserve">Adjust pressure transducers</t>
  </si>
  <si>
    <t xml:space="preserve">30 minutes</t>
  </si>
  <si>
    <t xml:space="preserve">PZM-BR_JK-D2</t>
  </si>
  <si>
    <t xml:space="preserve">RV-PT_ZM</t>
  </si>
  <si>
    <t xml:space="preserve">Pressure transducer - river</t>
  </si>
  <si>
    <t xml:space="preserve">Water level &amp; temperature - in-stream</t>
  </si>
  <si>
    <t xml:space="preserve">River water depth</t>
  </si>
  <si>
    <t xml:space="preserve">RV-PT_JK1</t>
  </si>
  <si>
    <t xml:space="preserve">RV-PT_JK2</t>
  </si>
  <si>
    <t xml:space="preserve">RV-PT_GN</t>
  </si>
  <si>
    <t xml:space="preserve">RV-PT_RH</t>
  </si>
  <si>
    <t xml:space="preserve">BH-PT_NW</t>
  </si>
  <si>
    <t xml:space="preserve">Pressure transducer - borehole</t>
  </si>
  <si>
    <t xml:space="preserve">Water level &amp; temperature - borehole</t>
  </si>
  <si>
    <t xml:space="preserve">Groundwater elevation, groundwater temperature</t>
  </si>
  <si>
    <t xml:space="preserve">60 minutes</t>
  </si>
  <si>
    <t xml:space="preserve">BH-PT_RR</t>
  </si>
  <si>
    <t xml:space="preserve">BH-PT_VR</t>
  </si>
  <si>
    <t xml:space="preserve">PZM-PT_JK-U2</t>
  </si>
  <si>
    <t xml:space="preserve">Pressure transducer - piezometer</t>
  </si>
  <si>
    <t xml:space="preserve">PZM-PT_JK-M6</t>
  </si>
  <si>
    <t xml:space="preserve">PZM-PT_JK-M4</t>
  </si>
  <si>
    <t xml:space="preserve">PZM-PT_JK-D2</t>
  </si>
  <si>
    <t xml:space="preserve">PTZ_VR</t>
  </si>
  <si>
    <t xml:space="preserve">Putze staff gage (groundwater pit)</t>
  </si>
  <si>
    <t xml:space="preserve">Water level - shallow groundwater (staff reading)</t>
  </si>
  <si>
    <t xml:space="preserve">Groundwater elevation</t>
  </si>
  <si>
    <t xml:space="preserve">(quarterly, not-automated)</t>
  </si>
  <si>
    <t xml:space="preserve">(manual, not-automated)</t>
  </si>
  <si>
    <t xml:space="preserve">PTZ_BK</t>
  </si>
  <si>
    <t xml:space="preserve">PTZ_DD</t>
  </si>
  <si>
    <t xml:space="preserve">PTZ_JK</t>
  </si>
  <si>
    <t xml:space="preserve">PTZ_ZF</t>
  </si>
  <si>
    <t xml:space="preserve">PTZ_TN</t>
  </si>
  <si>
    <t xml:space="preserve">PTZ_LG</t>
  </si>
  <si>
    <t xml:space="preserve">PZM_JK-U1</t>
  </si>
  <si>
    <t xml:space="preserve">Piezometer</t>
  </si>
  <si>
    <t xml:space="preserve">Water level - piezometer</t>
  </si>
  <si>
    <t xml:space="preserve">PZM_JK-U3</t>
  </si>
  <si>
    <t xml:space="preserve">PZM_JK-U6</t>
  </si>
  <si>
    <t xml:space="preserve">PZM_JK-U4</t>
  </si>
  <si>
    <t xml:space="preserve">PZM_JK-U5</t>
  </si>
  <si>
    <t xml:space="preserve">PZM_JK-M5</t>
  </si>
  <si>
    <t xml:space="preserve">PZM_JK-M3</t>
  </si>
  <si>
    <t xml:space="preserve">PZM_JK-M2</t>
  </si>
  <si>
    <t xml:space="preserve">PZM_JK-M1</t>
  </si>
  <si>
    <t xml:space="preserve">PZM_JK-D5</t>
  </si>
  <si>
    <t xml:space="preserve">PZM_JK-D4</t>
  </si>
  <si>
    <t xml:space="preserve">PZM_JK-D6</t>
  </si>
  <si>
    <t xml:space="preserve">PZM_JK-D3</t>
  </si>
  <si>
    <t xml:space="preserve">PZM_JK-D1</t>
  </si>
  <si>
    <t xml:space="preserve">Kromme</t>
  </si>
  <si>
    <t xml:space="preserve">RG_HV-FP</t>
  </si>
  <si>
    <t xml:space="preserve">RG_HV-MT</t>
  </si>
  <si>
    <t xml:space="preserve">RG_WV</t>
  </si>
  <si>
    <t xml:space="preserve">RG_WF</t>
  </si>
  <si>
    <t xml:space="preserve">PZM-BR_WV</t>
  </si>
  <si>
    <t xml:space="preserve">SAEON / Rhodes Univ</t>
  </si>
  <si>
    <t xml:space="preserve">RV-PT_KG</t>
  </si>
  <si>
    <t xml:space="preserve">RV-PT_KD-US</t>
  </si>
  <si>
    <t xml:space="preserve">RV-PT_KD-DS</t>
  </si>
  <si>
    <t xml:space="preserve">RV-PT_HV</t>
  </si>
  <si>
    <t xml:space="preserve">RV-PT_HV-WE</t>
  </si>
  <si>
    <t xml:space="preserve">RV-PT_HV-PK</t>
  </si>
  <si>
    <t xml:space="preserve">RV-PT_WV</t>
  </si>
  <si>
    <t xml:space="preserve">RV-PT_DR</t>
  </si>
  <si>
    <t xml:space="preserve">BH_KG-US</t>
  </si>
  <si>
    <t xml:space="preserve">BH_JDT-US</t>
  </si>
  <si>
    <t xml:space="preserve">BH_JDT-DS</t>
  </si>
  <si>
    <t xml:space="preserve">PZM-PT_WV-PL1</t>
  </si>
  <si>
    <t xml:space="preserve">PZM-PT_WV-WT2</t>
  </si>
  <si>
    <t xml:space="preserve">PZM_KG-P16</t>
  </si>
  <si>
    <t xml:space="preserve">PZM_KD-P11</t>
  </si>
  <si>
    <t xml:space="preserve">PZM_KD-P2</t>
  </si>
  <si>
    <t xml:space="preserve">PZM_KD-P12</t>
  </si>
  <si>
    <t xml:space="preserve">PZM_KD-P3</t>
  </si>
  <si>
    <t xml:space="preserve">PZM_KD-P4</t>
  </si>
  <si>
    <t xml:space="preserve">PZM_HV-GS1</t>
  </si>
  <si>
    <t xml:space="preserve">PZM_HV-PL2</t>
  </si>
  <si>
    <t xml:space="preserve">PZM_HV-PL1</t>
  </si>
  <si>
    <t xml:space="preserve">PZM_WV-GS2</t>
  </si>
  <si>
    <t xml:space="preserve">PZM_WV-GS1</t>
  </si>
  <si>
    <t xml:space="preserve">PZM_WV-PL2</t>
  </si>
  <si>
    <t xml:space="preserve">PZM_WV-WT1</t>
  </si>
  <si>
    <t xml:space="preserve">PZM_WV-WT3</t>
  </si>
  <si>
    <t xml:space="preserve">SAEON &amp; GFW</t>
  </si>
  <si>
    <t xml:space="preserve">GFW</t>
  </si>
  <si>
    <t xml:space="preserve">St. Lucia - EASTERN SHORE</t>
  </si>
  <si>
    <t xml:space="preserve">BARO_St Lucia EKZNW main office</t>
  </si>
  <si>
    <t xml:space="preserve">Pressure transducer</t>
  </si>
  <si>
    <t xml:space="preserve">Ground Water level</t>
  </si>
  <si>
    <t xml:space="preserve">yes</t>
  </si>
  <si>
    <t xml:space="preserve">EKZNW &amp; GFW</t>
  </si>
  <si>
    <t xml:space="preserve">C2 PLG</t>
  </si>
  <si>
    <t xml:space="preserve">D3 PLG</t>
  </si>
  <si>
    <t xml:space="preserve">Water level &amp; temperature - borehol</t>
  </si>
  <si>
    <t xml:space="preserve">DWAF &amp; GFW</t>
  </si>
  <si>
    <t xml:space="preserve">DWAF A2</t>
  </si>
  <si>
    <t xml:space="preserve">no</t>
  </si>
  <si>
    <t xml:space="preserve">ELEPHANT BOMA</t>
  </si>
  <si>
    <t xml:space="preserve">PLG &amp; GFW</t>
  </si>
  <si>
    <t xml:space="preserve">MFS1 PLG</t>
  </si>
  <si>
    <t xml:space="preserve">WETLAND PLG</t>
  </si>
  <si>
    <t xml:space="preserve">EKZNW main office</t>
  </si>
  <si>
    <t xml:space="preserve">Precipitation</t>
  </si>
  <si>
    <t xml:space="preserve">Event</t>
  </si>
  <si>
    <t xml:space="preserve">MBAZWANA</t>
  </si>
  <si>
    <t xml:space="preserve">MB01</t>
  </si>
  <si>
    <t xml:space="preserve">MSELENI</t>
  </si>
  <si>
    <t xml:space="preserve">MABASA_DWAS</t>
  </si>
  <si>
    <t xml:space="preserve">SIBHAYI</t>
  </si>
  <si>
    <t xml:space="preserve">BARO_CAMP</t>
  </si>
  <si>
    <t xml:space="preserve">Barometer</t>
  </si>
  <si>
    <t xml:space="preserve">Barometric pressure</t>
  </si>
  <si>
    <t xml:space="preserve">CF01A__ltc</t>
  </si>
  <si>
    <t xml:space="preserve">Ground Water level, conductivity</t>
  </si>
  <si>
    <t xml:space="preserve">CF01B</t>
  </si>
  <si>
    <t xml:space="preserve">EAST</t>
  </si>
  <si>
    <t xml:space="preserve">Ground Water level- lake level</t>
  </si>
  <si>
    <t xml:space="preserve">SG01A</t>
  </si>
  <si>
    <t xml:space="preserve">SG01B</t>
  </si>
  <si>
    <t xml:space="preserve">SIB01A</t>
  </si>
  <si>
    <t xml:space="preserve">SIB01B</t>
  </si>
  <si>
    <t xml:space="preserve">SIB02</t>
  </si>
  <si>
    <t xml:space="preserve">SOUTH</t>
  </si>
  <si>
    <t xml:space="preserve">SILEZA</t>
  </si>
  <si>
    <t xml:space="preserve">SILEZA CAMP</t>
  </si>
  <si>
    <t xml:space="preserve">SODWANA</t>
  </si>
  <si>
    <t xml:space="preserve">BAY LODGE</t>
  </si>
  <si>
    <t xml:space="preserve">VASI</t>
  </si>
  <si>
    <t xml:space="preserve">A3</t>
  </si>
  <si>
    <t xml:space="preserve">A5</t>
  </si>
  <si>
    <t xml:space="preserve">Water level &amp; temperature - borehole??</t>
  </si>
  <si>
    <t xml:space="preserve">BARO_SCIENCE CENTRE</t>
  </si>
  <si>
    <t xml:space="preserve">BUKHOSINI</t>
  </si>
  <si>
    <t xml:space="preserve">BURNT LOWER</t>
  </si>
  <si>
    <t xml:space="preserve">BURNT UPPER</t>
  </si>
  <si>
    <t xml:space="preserve">Science Centre AWS</t>
  </si>
  <si>
    <t xml:space="preserve">Automatic Weather Station CS </t>
  </si>
  <si>
    <t xml:space="preserve">Wind sp/dr, Air temp., HR, radiation, UV, ground temp., rainfall, baro.</t>
  </si>
  <si>
    <t xml:space="preserve">Five minutes, Hourly, Daily</t>
  </si>
  <si>
    <t xml:space="preserve">Five minutes (signal dependant)</t>
  </si>
  <si>
    <t xml:space="preserve">Sibayi Camp AWS</t>
  </si>
  <si>
    <t xml:space="preserve">Automatic Weather Station CS</t>
  </si>
  <si>
    <t xml:space="preserve">Wind sp/dr, Air temp&amp; RH, Rainfall</t>
  </si>
  <si>
    <t xml:space="preserve">GWF &amp; EFTEON</t>
  </si>
  <si>
    <t xml:space="preserve">Eddy Covariance Flux tower - Macadamia </t>
  </si>
  <si>
    <t xml:space="preserve">CO2 &amp; H2O exchange - eddy covariance</t>
  </si>
  <si>
    <t xml:space="preserve">High frequency (20Hz) and 30 minute corrected fluxes</t>
  </si>
  <si>
    <t xml:space="preserve">HPV HIGHER</t>
  </si>
  <si>
    <t xml:space="preserve">HPV LOWER</t>
  </si>
  <si>
    <t xml:space="preserve">HPV MID</t>
  </si>
  <si>
    <t xml:space="preserve">Manzengwenya EKZNW Office</t>
  </si>
  <si>
    <t xml:space="preserve">SCIENCE CENTRE</t>
  </si>
  <si>
    <t xml:space="preserve">SIYADLA BRIDGE</t>
  </si>
  <si>
    <t xml:space="preserve">Ground Water level: IN STREAM</t>
  </si>
  <si>
    <t xml:space="preserve">Pressure transducer OTT MF Pro </t>
  </si>
  <si>
    <t xml:space="preserve">Water level &amp; flow- In stream</t>
  </si>
  <si>
    <t xml:space="preserve">Flow discharge (cumecs) stream profile</t>
  </si>
  <si>
    <t xml:space="preserve">VASI_EUCALYPTUS</t>
  </si>
  <si>
    <t xml:space="preserve">Sileza </t>
  </si>
  <si>
    <t xml:space="preserve">Siyadla </t>
  </si>
  <si>
    <t xml:space="preserve">Manzengwenya Forest Station </t>
  </si>
  <si>
    <t xml:space="preserve">Coastal Cashes </t>
  </si>
  <si>
    <t xml:space="preserve">Mseleni Tribal Court </t>
  </si>
  <si>
    <t xml:space="preserve">St. Lucia - WESTERN SHORE</t>
  </si>
  <si>
    <t xml:space="preserve">Western shores - EKZNW camp</t>
  </si>
  <si>
    <t xml:space="preserve">MONDI &amp; GFW</t>
  </si>
  <si>
    <t xml:space="preserve">WES01</t>
  </si>
  <si>
    <t xml:space="preserve">WES02</t>
  </si>
  <si>
    <t xml:space="preserve">WES03</t>
  </si>
  <si>
    <t xml:space="preserve">WES04</t>
  </si>
  <si>
    <t xml:space="preserve">Cathedral Peak</t>
  </si>
  <si>
    <t xml:space="preserve">10A</t>
  </si>
  <si>
    <t xml:space="preserve">Tipping bucket</t>
  </si>
  <si>
    <t xml:space="preserve">10C</t>
  </si>
  <si>
    <t xml:space="preserve">1C</t>
  </si>
  <si>
    <t xml:space="preserve">2A</t>
  </si>
  <si>
    <t xml:space="preserve">2B</t>
  </si>
  <si>
    <t xml:space="preserve">2C</t>
  </si>
  <si>
    <t xml:space="preserve">3A</t>
  </si>
  <si>
    <t xml:space="preserve">3B</t>
  </si>
  <si>
    <t xml:space="preserve">3C</t>
  </si>
  <si>
    <t xml:space="preserve">4A</t>
  </si>
  <si>
    <t xml:space="preserve">4B</t>
  </si>
  <si>
    <t xml:space="preserve">4C</t>
  </si>
  <si>
    <t xml:space="preserve">5A</t>
  </si>
  <si>
    <t xml:space="preserve">6B</t>
  </si>
  <si>
    <t xml:space="preserve">7A</t>
  </si>
  <si>
    <t xml:space="preserve">7C</t>
  </si>
  <si>
    <t xml:space="preserve">8A</t>
  </si>
  <si>
    <t xml:space="preserve">8C</t>
  </si>
  <si>
    <t xml:space="preserve">9A</t>
  </si>
  <si>
    <t xml:space="preserve">9C</t>
  </si>
  <si>
    <t xml:space="preserve">Bambanani AWS</t>
  </si>
  <si>
    <t xml:space="preserve">Automatic Weather Station Davis </t>
  </si>
  <si>
    <t xml:space="preserve">Automatic weather station</t>
  </si>
  <si>
    <t xml:space="preserve">Wind sp/dr, Air temp., HR, rainfall, baro.</t>
  </si>
  <si>
    <t xml:space="preserve">GFW - Byron PhD</t>
  </si>
  <si>
    <t xml:space="preserve">CAT3 Soil pit</t>
  </si>
  <si>
    <t xml:space="preserve">Soil moisture pit Cambell Scientific</t>
  </si>
  <si>
    <t xml:space="preserve">Soil moisture - TDR probe</t>
  </si>
  <si>
    <t xml:space="preserve">Soil moisture</t>
  </si>
  <si>
    <t xml:space="preserve">GFW </t>
  </si>
  <si>
    <t xml:space="preserve">CAT6 Soil Pit </t>
  </si>
  <si>
    <t xml:space="preserve">Soil Moisture</t>
  </si>
  <si>
    <t xml:space="preserve">CAT9 AWS station</t>
  </si>
  <si>
    <t xml:space="preserve">Automatic Weather Station, CS</t>
  </si>
  <si>
    <t xml:space="preserve">Wind sp/dr, Air temp., HR, radiation, rainfall, baro.</t>
  </si>
  <si>
    <t xml:space="preserve">CAT9 Soil pit</t>
  </si>
  <si>
    <t xml:space="preserve">Colin Everson</t>
  </si>
  <si>
    <t xml:space="preserve">Cosmic Ray Probe</t>
  </si>
  <si>
    <t xml:space="preserve">Cosmic Ray sensor</t>
  </si>
  <si>
    <t xml:space="preserve">Soil moisture - cosmic ray </t>
  </si>
  <si>
    <t xml:space="preserve">Hourly and Daily corrected data</t>
  </si>
  <si>
    <t xml:space="preserve">Davis Mike's Pass MET</t>
  </si>
  <si>
    <t xml:space="preserve">Eddy Covariance System</t>
  </si>
  <si>
    <t xml:space="preserve">CO2 + H2O flux, net radiation, soil heat flux,  soil &amp; air temperature, humidity, soil moisture, wind s&amp;d</t>
  </si>
  <si>
    <t xml:space="preserve">Ground level Mike's MET</t>
  </si>
  <si>
    <t xml:space="preserve">High Altitude AWS</t>
  </si>
  <si>
    <t xml:space="preserve">Automatic Weather Station CS AWS</t>
  </si>
  <si>
    <t xml:space="preserve">Wind sp/dr, Air temp., HR, radiation, ground temp., rainfall, snowfall, soil moisture, baro.</t>
  </si>
  <si>
    <t xml:space="preserve">LAS gauge</t>
  </si>
  <si>
    <t xml:space="preserve">Licor 8100</t>
  </si>
  <si>
    <t xml:space="preserve">Soil respiration chambers: Licor 8100 8 chamber</t>
  </si>
  <si>
    <t xml:space="preserve">Soil respiration chambers</t>
  </si>
  <si>
    <t xml:space="preserve">Soil respiration (CO2 + H2O flux, soil moisture, air and soil temperature, solar radiation, Baro</t>
  </si>
  <si>
    <t xml:space="preserve">Hourly (if RH &lt;85%)</t>
  </si>
  <si>
    <t xml:space="preserve">MET 2 Texas</t>
  </si>
  <si>
    <t xml:space="preserve">MET 3 Texas</t>
  </si>
  <si>
    <t xml:space="preserve">MET fog gauge</t>
  </si>
  <si>
    <t xml:space="preserve">Fog</t>
  </si>
  <si>
    <t xml:space="preserve">Mike's Pass AWS</t>
  </si>
  <si>
    <t xml:space="preserve">Wind sp/dr, Air temp., HR, radiation, ground temp., rainfall, Fog, baro.</t>
  </si>
  <si>
    <t xml:space="preserve">Nipher Mike's MET</t>
  </si>
  <si>
    <t xml:space="preserve">OIC AWS</t>
  </si>
  <si>
    <t xml:space="preserve">Wind sp/dr, Air temp., HR, radiation, ground temp., rainfall, baro.</t>
  </si>
  <si>
    <t xml:space="preserve">Okhombe AWS</t>
  </si>
  <si>
    <t xml:space="preserve">GFW - Université de Bourgogne</t>
  </si>
  <si>
    <t xml:space="preserve">Spectral probe - IX</t>
  </si>
  <si>
    <t xml:space="preserve">Spectral probe</t>
  </si>
  <si>
    <t xml:space="preserve">Water quality - carbon</t>
  </si>
  <si>
    <t xml:space="preserve">DOC, TOC Measures water quailty, </t>
  </si>
  <si>
    <t xml:space="preserve">15 minutes</t>
  </si>
  <si>
    <t xml:space="preserve">Spectral probe - VI</t>
  </si>
  <si>
    <t xml:space="preserve">15minutes</t>
  </si>
  <si>
    <t xml:space="preserve">Surface renewal system - catchment III</t>
  </si>
  <si>
    <t xml:space="preserve">Surface renewal system</t>
  </si>
  <si>
    <t xml:space="preserve">Surface renewal</t>
  </si>
  <si>
    <t xml:space="preserve">Net Radiation (Short-wave and Long-wave of both Incoming and Outgoing + Albedo), Air Temperature (standard and high frequency), Windspeed and Direction, Soil Temperature, Moisture and Heatflux</t>
  </si>
  <si>
    <t xml:space="preserve">2 minutes, 30 minutes</t>
  </si>
  <si>
    <t xml:space="preserve">Surface renewal system - catchment IX</t>
  </si>
  <si>
    <t xml:space="preserve">Weir 03</t>
  </si>
  <si>
    <t xml:space="preserve">Pressure transducer CS </t>
  </si>
  <si>
    <t xml:space="preserve">Streamflow, Water Temperature</t>
  </si>
  <si>
    <t xml:space="preserve">30 minutes, Hourly, Daily, Height change (3mm)</t>
  </si>
  <si>
    <t xml:space="preserve">GFW - WITS </t>
  </si>
  <si>
    <t xml:space="preserve">Weir 03 ISCO</t>
  </si>
  <si>
    <t xml:space="preserve">ISCO Sampler</t>
  </si>
  <si>
    <t xml:space="preserve">Water quality  Water sample collector</t>
  </si>
  <si>
    <t xml:space="preserve">Water samples</t>
  </si>
  <si>
    <t xml:space="preserve">Event or height change (10mm)</t>
  </si>
  <si>
    <t xml:space="preserve">Weir 03 YSI</t>
  </si>
  <si>
    <t xml:space="preserve">Water Quality - Phys-chem YSI</t>
  </si>
  <si>
    <t xml:space="preserve">Water quality  </t>
  </si>
  <si>
    <t xml:space="preserve">Temperature, salinity, conductivity, DO, TDS, pH, ORP</t>
  </si>
  <si>
    <t xml:space="preserve">Weir 04</t>
  </si>
  <si>
    <t xml:space="preserve">Pressure transducer OTT </t>
  </si>
  <si>
    <t xml:space="preserve">Weir 04 YSI</t>
  </si>
  <si>
    <t xml:space="preserve">Weir 05</t>
  </si>
  <si>
    <t xml:space="preserve">Weir 05 YSI</t>
  </si>
  <si>
    <t xml:space="preserve">Weir 06 </t>
  </si>
  <si>
    <t xml:space="preserve">Pressure transducers OTT &amp; CS  </t>
  </si>
  <si>
    <t xml:space="preserve">Weir 06 ISCO</t>
  </si>
  <si>
    <t xml:space="preserve">Weir 06 YSI</t>
  </si>
  <si>
    <t xml:space="preserve">Weir 07</t>
  </si>
  <si>
    <t xml:space="preserve">Weir 07 YSI</t>
  </si>
  <si>
    <t xml:space="preserve">Weir 09</t>
  </si>
  <si>
    <t xml:space="preserve">Weir 09 ISCO</t>
  </si>
  <si>
    <t xml:space="preserve">Weir 09 YSI</t>
  </si>
  <si>
    <t xml:space="preserve">CAT3 #1</t>
  </si>
  <si>
    <t xml:space="preserve">Soil Diviner tube</t>
  </si>
  <si>
    <t xml:space="preserve">Soil moisture - diviner</t>
  </si>
  <si>
    <t xml:space="preserve">Soil water  content (every 10cm to a depth of 110cm)</t>
  </si>
  <si>
    <t xml:space="preserve">CAT3 #2</t>
  </si>
  <si>
    <t xml:space="preserve">CAT3 #3</t>
  </si>
  <si>
    <t xml:space="preserve">CAT3 #4</t>
  </si>
  <si>
    <t xml:space="preserve">CAT3 #5</t>
  </si>
  <si>
    <t xml:space="preserve">CAT3 #6</t>
  </si>
  <si>
    <t xml:space="preserve">CAT6 #1</t>
  </si>
  <si>
    <t xml:space="preserve">CAT6 #2</t>
  </si>
  <si>
    <t xml:space="preserve">CAT6 #3</t>
  </si>
  <si>
    <t xml:space="preserve">CAT6 #4</t>
  </si>
  <si>
    <t xml:space="preserve">CAT6 #5</t>
  </si>
  <si>
    <t xml:space="preserve">CAT6 #6</t>
  </si>
  <si>
    <t xml:space="preserve">CAT9 #1</t>
  </si>
  <si>
    <t xml:space="preserve">CAT9 #2</t>
  </si>
  <si>
    <t xml:space="preserve">CAT9 #3</t>
  </si>
  <si>
    <t xml:space="preserve">CAT9 #4</t>
  </si>
  <si>
    <t xml:space="preserve">CAT9 #5</t>
  </si>
  <si>
    <t xml:space="preserve">CAT9 #6</t>
  </si>
  <si>
    <t xml:space="preserve">GFW - Tiffany PhD</t>
  </si>
  <si>
    <t xml:space="preserve">Greater Kruger - Mthimkhulu</t>
  </si>
  <si>
    <t xml:space="preserve">Cleared area - Surface Renewal system</t>
  </si>
  <si>
    <t xml:space="preserve">Surface renewal </t>
  </si>
  <si>
    <t xml:space="preserve">Cleared area - MET station</t>
  </si>
  <si>
    <t xml:space="preserve">Enchroached area - Surface Renewal system</t>
  </si>
  <si>
    <t xml:space="preserve">Ndlovu</t>
  </si>
  <si>
    <t xml:space="preserve">South African Wildlife College</t>
  </si>
  <si>
    <t xml:space="preserve">saw_office</t>
  </si>
  <si>
    <t xml:space="preserve">Meterological station</t>
  </si>
  <si>
    <t xml:space="preserve">&lt; 3 months</t>
  </si>
  <si>
    <t xml:space="preserve">Welverdiend</t>
  </si>
  <si>
    <t xml:space="preserve">wel_patrick</t>
  </si>
  <si>
    <t xml:space="preserve">Majeje High School</t>
  </si>
  <si>
    <t xml:space="preserve">maj_school</t>
  </si>
  <si>
    <t xml:space="preserve">SAEON - Lajuma</t>
  </si>
  <si>
    <t xml:space="preserve">Lajuma (Soutpansberg)</t>
  </si>
  <si>
    <t xml:space="preserve">laj_12N</t>
  </si>
  <si>
    <t xml:space="preserve">Uncertain</t>
  </si>
  <si>
    <t xml:space="preserve">laj_12S</t>
  </si>
  <si>
    <t xml:space="preserve">laj_17N</t>
  </si>
  <si>
    <t xml:space="preserve">laj_8N</t>
  </si>
  <si>
    <t xml:space="preserve">laj_8N_2</t>
  </si>
  <si>
    <t xml:space="preserve">SAEON Ndlovu Node office, Kruger Park</t>
  </si>
  <si>
    <t xml:space="preserve">pha_saeon</t>
  </si>
  <si>
    <t xml:space="preserve">Haenertsburg</t>
  </si>
  <si>
    <t xml:space="preserve">hae_tower</t>
  </si>
  <si>
    <t xml:space="preserve">hae_tower_2</t>
  </si>
  <si>
    <t xml:space="preserve">hae_tower_3</t>
  </si>
  <si>
    <t xml:space="preserve">Automatic Weather Station  CS </t>
  </si>
  <si>
    <t xml:space="preserve">Olifants West Private Nature Reserve</t>
  </si>
  <si>
    <t xml:space="preserve">oli_west_res</t>
  </si>
  <si>
    <t xml:space="preserve">Mariepskop, 1300m, at DAFF office</t>
  </si>
  <si>
    <t xml:space="preserve">mar_13S</t>
  </si>
  <si>
    <t xml:space="preserve">Mariepskop, 1600m, eastern side</t>
  </si>
  <si>
    <t xml:space="preserve">mar_16N</t>
  </si>
  <si>
    <t xml:space="preserve">5 minutes</t>
  </si>
  <si>
    <t xml:space="preserve">Letaba Exclosure, Kruger National Park</t>
  </si>
  <si>
    <t xml:space="preserve">knp_let_exclosure</t>
  </si>
  <si>
    <t xml:space="preserve">knp_let_exclosure_2</t>
  </si>
  <si>
    <t xml:space="preserve">Nkateko High School</t>
  </si>
  <si>
    <t xml:space="preserve">pha_nkateko</t>
  </si>
  <si>
    <t xml:space="preserve">Sebalamakgolo High School</t>
  </si>
  <si>
    <t xml:space="preserve">pha_seba</t>
  </si>
  <si>
    <t xml:space="preserve">Palabora Copper mine</t>
  </si>
  <si>
    <t xml:space="preserve">pha_pc_sheq</t>
  </si>
  <si>
    <t xml:space="preserve">Mica</t>
  </si>
  <si>
    <t xml:space="preserve">mica_station</t>
  </si>
  <si>
    <t xml:space="preserve">Southern Cross School</t>
  </si>
  <si>
    <t xml:space="preserve">hoed_scs</t>
  </si>
  <si>
    <t xml:space="preserve">Frans du Toit High School</t>
  </si>
  <si>
    <t xml:space="preserve">pha_fdt</t>
  </si>
  <si>
    <t xml:space="preserve">Kingfisher Private School</t>
  </si>
  <si>
    <t xml:space="preserve">pha_kfps</t>
  </si>
  <si>
    <t xml:space="preserve">Letaba Section Ranger, Kruger National Park</t>
  </si>
  <si>
    <t xml:space="preserve">knp_letaba</t>
  </si>
  <si>
    <t xml:space="preserve">Nwa'netsi Section Ranger, Kruger National Park</t>
  </si>
  <si>
    <t xml:space="preserve">knp_nwanetsi</t>
  </si>
  <si>
    <t xml:space="preserve">Phalaubeni village</t>
  </si>
  <si>
    <t xml:space="preserve">mth_pha</t>
  </si>
  <si>
    <t xml:space="preserve">Mthimkhulu Main Gate</t>
  </si>
  <si>
    <t xml:space="preserve">mth_camp</t>
  </si>
  <si>
    <t xml:space="preserve">Mahale Farm</t>
  </si>
  <si>
    <t xml:space="preserve">mth_mahale</t>
  </si>
  <si>
    <t xml:space="preserve">ALN</t>
  </si>
  <si>
    <t xml:space="preserve">Compassberg</t>
  </si>
  <si>
    <t xml:space="preserve">Compassberg AWS</t>
  </si>
  <si>
    <t xml:space="preserve">Wind sp/dr, Air temp., Relative Humidity, solar radiation, UV, ground temp, rainfall, baro.</t>
  </si>
  <si>
    <t xml:space="preserve">Annually</t>
  </si>
  <si>
    <t xml:space="preserve">Benfontein</t>
  </si>
  <si>
    <t xml:space="preserve">Benfontein AWS</t>
  </si>
  <si>
    <t xml:space="preserve">Wind sp/dr, Air temp., Relative Humidity, solar radiation, UV, ground temp, rainfall, soil T, soil M, soil EC, baro.</t>
  </si>
  <si>
    <t xml:space="preserve">Tierberg LTER</t>
  </si>
  <si>
    <t xml:space="preserve">Tierberg AWS</t>
  </si>
  <si>
    <t xml:space="preserve">Wolwekraal</t>
  </si>
  <si>
    <t xml:space="preserve">Wolwekraal AWS</t>
  </si>
  <si>
    <t xml:space="preserve">Wind sp/dr, Air temp., Relative Humidity, solar radiation, rainfall.</t>
  </si>
  <si>
    <t xml:space="preserve">Soetendalsvlei inflow</t>
  </si>
  <si>
    <t xml:space="preserve">Moddervlei</t>
  </si>
  <si>
    <t xml:space="preserve">R43 Road Bridge</t>
  </si>
  <si>
    <t xml:space="preserve">Barologger</t>
  </si>
  <si>
    <t xml:space="preserve">Baralogger</t>
  </si>
  <si>
    <t xml:space="preserve">EFTEON</t>
  </si>
  <si>
    <t xml:space="preserve">Arid_Node</t>
  </si>
  <si>
    <t xml:space="preserve">Karoo eddy covariance </t>
  </si>
  <si>
    <t xml:space="preserve">Savannah eddy covariance </t>
  </si>
  <si>
    <t xml:space="preserve">Greater Letaba River</t>
  </si>
  <si>
    <t xml:space="preserve">LF002A</t>
  </si>
  <si>
    <t xml:space="preserve">LF002 B</t>
  </si>
  <si>
    <t xml:space="preserve">LF0021</t>
  </si>
  <si>
    <t xml:space="preserve">LF003 A</t>
  </si>
  <si>
    <t xml:space="preserve">LF003 B</t>
  </si>
  <si>
    <t xml:space="preserve">LF003C</t>
  </si>
  <si>
    <t xml:space="preserve">LF0031 A</t>
  </si>
  <si>
    <t xml:space="preserve">LF0031 B</t>
  </si>
  <si>
    <t xml:space="preserve">LF004 A</t>
  </si>
  <si>
    <t xml:space="preserve">LF004 B</t>
  </si>
  <si>
    <t xml:space="preserve">LF005 A</t>
  </si>
  <si>
    <t xml:space="preserve">LF005 B</t>
  </si>
  <si>
    <t xml:space="preserve">LF005 C</t>
  </si>
  <si>
    <t xml:space="preserve">LF0051 A</t>
  </si>
  <si>
    <t xml:space="preserve">LF0051 B</t>
  </si>
  <si>
    <t xml:space="preserve">LR001 A</t>
  </si>
  <si>
    <t xml:space="preserve">LR001 B</t>
  </si>
  <si>
    <t xml:space="preserve">LR0011 A</t>
  </si>
  <si>
    <t xml:space="preserve">LR0011 B</t>
  </si>
  <si>
    <t xml:space="preserve">LR002 A</t>
  </si>
  <si>
    <t xml:space="preserve">LR002 B</t>
  </si>
  <si>
    <t xml:space="preserve">LR003</t>
  </si>
  <si>
    <t xml:space="preserve">LR004 A</t>
  </si>
  <si>
    <t xml:space="preserve">LR004 B</t>
  </si>
  <si>
    <t xml:space="preserve">LR005 A</t>
  </si>
  <si>
    <t xml:space="preserve">LR005 B</t>
  </si>
  <si>
    <t xml:space="preserve">LRW001</t>
  </si>
  <si>
    <t xml:space="preserve">LRW002</t>
  </si>
  <si>
    <t xml:space="preserve">MAHALE-WEIR</t>
  </si>
  <si>
    <t xml:space="preserve">Mariepskop</t>
  </si>
  <si>
    <t xml:space="preserve">Marieps_1</t>
  </si>
  <si>
    <t xml:space="preserve">Texas Instruments tipping bucket with Hobo Pendant</t>
  </si>
  <si>
    <t xml:space="preserve">Precipitation; temperature</t>
  </si>
  <si>
    <t xml:space="preserve">Event; 5min</t>
  </si>
  <si>
    <t xml:space="preserve">Marieps_1_mist</t>
  </si>
  <si>
    <t xml:space="preserve">Texas Instruments tipping bucket with Hobo Pendant and mist collector column mounted on bucket</t>
  </si>
  <si>
    <t xml:space="preserve">Mist collector</t>
  </si>
  <si>
    <t xml:space="preserve">Marieps_2</t>
  </si>
  <si>
    <t xml:space="preserve">Marieps_3</t>
  </si>
  <si>
    <t xml:space="preserve">Mthimkhulu</t>
  </si>
  <si>
    <t xml:space="preserve">Mth_1cut</t>
  </si>
  <si>
    <t xml:space="preserve">Campbell Scientific 655</t>
  </si>
  <si>
    <t xml:space="preserve">Soil moisture sensor</t>
  </si>
  <si>
    <t xml:space="preserve">Soil water, soil temperature and soil electrical conductivity at 10, 50 and 80cm depth</t>
  </si>
  <si>
    <t xml:space="preserve">5 minute</t>
  </si>
  <si>
    <t xml:space="preserve">Mth_1thick</t>
  </si>
  <si>
    <t xml:space="preserve">Mth_2cut</t>
  </si>
  <si>
    <t xml:space="preserve">Mth_2thick</t>
  </si>
  <si>
    <t xml:space="preserve">Mth_3cut</t>
  </si>
  <si>
    <t xml:space="preserve">Mth_3thick</t>
  </si>
  <si>
    <t xml:space="preserve">Mth_Tsh</t>
  </si>
  <si>
    <t xml:space="preserve">Last updated:</t>
  </si>
  <si>
    <t xml:space="preserve">Spatial coordinate reference system:</t>
  </si>
  <si>
    <t xml:space="preserve">WGS84 Geographic</t>
  </si>
  <si>
    <t xml:space="preserve">Column descriptions:</t>
  </si>
  <si>
    <t xml:space="preserve">The owner of the equipment and/or the research project.</t>
  </si>
  <si>
    <t xml:space="preserve">The larger site at which the equipment is installed. Typically refers to a mountain range, nature reserve or similar.</t>
  </si>
  <si>
    <t xml:space="preserve">The name or code given to the equipment station - typically in the context of the broader research project.</t>
  </si>
  <si>
    <t xml:space="preserve">Latitude in WGS84 geographic</t>
  </si>
  <si>
    <t xml:space="preserve">Longitude in WGS84 geographic</t>
  </si>
  <si>
    <t xml:space="preserve">Elevation in metres - often drawn from Google Earth</t>
  </si>
  <si>
    <t xml:space="preserve">Described the general class of equipment, e.g. Hydrological, Meteorological, Ecological</t>
  </si>
  <si>
    <t xml:space="preserve">A general description of the station and the kind of sensor(s).</t>
  </si>
  <si>
    <t xml:space="preserve">What variables are measured.</t>
  </si>
  <si>
    <t xml:space="preserve">How often are they measured.</t>
  </si>
  <si>
    <t xml:space="preserve">Is the equipment recording (Yes/No)</t>
  </si>
  <si>
    <t xml:space="preserve">Is the equipment sending data back to the office (telemetry) or require manual downloading (manual)</t>
  </si>
  <si>
    <t xml:space="preserve">What is the set or required download frequency (e.g. hourly, daily, monthly, &lt;3 months, etc)</t>
  </si>
  <si>
    <t xml:space="preserve">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</si>
</sst>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\-YY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2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222222"/>
      <name val="Calibri"/>
      <family val="0"/>
      <charset val="1"/>
    </font>
    <font>
      <sz val="11"/>
      <color rgb="FF000000"/>
      <name val="Inconsolata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5" activeCellId="0" sqref="E5:F5"/>
    </sheetView>
  </sheetViews>
  <sheetFormatPr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8.74"/>
    <col collapsed="false" customWidth="true" hidden="false" outlineLevel="0" max="3" min="3" style="0" width="16.63"/>
    <col collapsed="false" customWidth="true" hidden="false" outlineLevel="0" max="4" min="4" style="0" width="18.5"/>
    <col collapsed="false" customWidth="true" hidden="false" outlineLevel="0" max="5" min="5" style="0" width="9.88"/>
    <col collapsed="false" customWidth="true" hidden="false" outlineLevel="0" max="6" min="6" style="0" width="10"/>
    <col collapsed="false" customWidth="true" hidden="false" outlineLevel="0" max="7" min="7" style="0" width="6"/>
    <col collapsed="false" customWidth="true" hidden="false" outlineLevel="0" max="8" min="8" style="0" width="12.63"/>
    <col collapsed="false" customWidth="true" hidden="false" outlineLevel="0" max="9" min="9" style="0" width="24.25"/>
    <col collapsed="false" customWidth="true" hidden="false" outlineLevel="0" max="10" min="10" style="0" width="32.38"/>
    <col collapsed="false" customWidth="true" hidden="false" outlineLevel="0" max="11" min="11" style="0" width="28.13"/>
    <col collapsed="false" customWidth="true" hidden="false" outlineLevel="0" max="12" min="12" style="0" width="14.38"/>
    <col collapsed="false" customWidth="true" hidden="false" outlineLevel="0" max="13" min="13" style="0" width="7.75"/>
    <col collapsed="false" customWidth="true" hidden="false" outlineLevel="0" max="14" min="14" style="0" width="12.13"/>
    <col collapsed="false" customWidth="true" hidden="false" outlineLevel="0" max="15" min="15" style="0" width="24.13"/>
    <col collapsed="false" customWidth="true" hidden="false" outlineLevel="0" max="16" min="16" style="0" width="9.13"/>
    <col collapsed="false" customWidth="true" hidden="false" outlineLevel="0" max="28" min="17" style="0" width="7.75"/>
    <col collapsed="false" customWidth="true" hidden="false" outlineLevel="0" max="1025" min="29" style="0" width="12.63"/>
  </cols>
  <sheetData>
    <row r="1" customFormat="false" ht="14.25" hidden="false" customHeight="tru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customFormat="false" ht="14.25" hidden="false" customHeight="true" outlineLevel="0" collapsed="false">
      <c r="A2" s="5" t="s">
        <v>15</v>
      </c>
      <c r="B2" s="6" t="s">
        <v>16</v>
      </c>
      <c r="C2" s="7" t="s">
        <v>17</v>
      </c>
      <c r="D2" s="5" t="s">
        <v>18</v>
      </c>
      <c r="E2" s="8" t="n">
        <v>-33.961703</v>
      </c>
      <c r="F2" s="8" t="n">
        <v>18.93197</v>
      </c>
      <c r="G2" s="5" t="n">
        <v>274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 t="s">
        <v>24</v>
      </c>
      <c r="N2" s="6" t="s">
        <v>25</v>
      </c>
      <c r="O2" s="6" t="s">
        <v>26</v>
      </c>
    </row>
    <row r="3" customFormat="false" ht="14.25" hidden="false" customHeight="true" outlineLevel="0" collapsed="false">
      <c r="A3" s="5" t="s">
        <v>15</v>
      </c>
      <c r="B3" s="6" t="s">
        <v>16</v>
      </c>
      <c r="C3" s="7" t="s">
        <v>17</v>
      </c>
      <c r="D3" s="5" t="s">
        <v>27</v>
      </c>
      <c r="E3" s="8" t="n">
        <v>-33.964874</v>
      </c>
      <c r="F3" s="8" t="n">
        <v>18.942941</v>
      </c>
      <c r="G3" s="5" t="n">
        <v>362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6" t="s">
        <v>24</v>
      </c>
      <c r="N3" s="6" t="s">
        <v>25</v>
      </c>
      <c r="O3" s="6" t="s">
        <v>26</v>
      </c>
    </row>
    <row r="4" customFormat="false" ht="14.25" hidden="false" customHeight="true" outlineLevel="0" collapsed="false">
      <c r="A4" s="5" t="s">
        <v>15</v>
      </c>
      <c r="B4" s="6" t="s">
        <v>16</v>
      </c>
      <c r="C4" s="7" t="s">
        <v>17</v>
      </c>
      <c r="D4" s="5" t="s">
        <v>28</v>
      </c>
      <c r="E4" s="8" t="n">
        <v>-33.968151</v>
      </c>
      <c r="F4" s="8" t="n">
        <v>18.940566</v>
      </c>
      <c r="G4" s="5" t="n">
        <v>300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6" t="s">
        <v>24</v>
      </c>
      <c r="N4" s="6" t="s">
        <v>25</v>
      </c>
      <c r="O4" s="6" t="s">
        <v>26</v>
      </c>
    </row>
    <row r="5" customFormat="false" ht="14.25" hidden="false" customHeight="true" outlineLevel="0" collapsed="false">
      <c r="A5" s="5" t="s">
        <v>15</v>
      </c>
      <c r="B5" s="6" t="s">
        <v>16</v>
      </c>
      <c r="C5" s="7" t="s">
        <v>17</v>
      </c>
      <c r="D5" s="5" t="s">
        <v>29</v>
      </c>
      <c r="E5" s="8" t="n">
        <v>-33.9769603</v>
      </c>
      <c r="F5" s="8" t="n">
        <v>18.948294</v>
      </c>
      <c r="G5" s="5" t="n">
        <v>293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6" t="s">
        <v>24</v>
      </c>
      <c r="N5" s="6" t="s">
        <v>25</v>
      </c>
      <c r="O5" s="6" t="s">
        <v>26</v>
      </c>
    </row>
    <row r="6" customFormat="false" ht="14.25" hidden="false" customHeight="true" outlineLevel="0" collapsed="false">
      <c r="A6" s="5" t="s">
        <v>15</v>
      </c>
      <c r="B6" s="6" t="s">
        <v>16</v>
      </c>
      <c r="C6" s="7" t="s">
        <v>17</v>
      </c>
      <c r="D6" s="9" t="s">
        <v>30</v>
      </c>
      <c r="E6" s="8" t="n">
        <v>-33.978983</v>
      </c>
      <c r="F6" s="8" t="n">
        <v>18.951486</v>
      </c>
      <c r="G6" s="5" t="n">
        <v>295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6" t="s">
        <v>24</v>
      </c>
      <c r="N6" s="6" t="s">
        <v>25</v>
      </c>
      <c r="O6" s="6" t="s">
        <v>26</v>
      </c>
    </row>
    <row r="7" customFormat="false" ht="14.25" hidden="false" customHeight="true" outlineLevel="0" collapsed="false">
      <c r="A7" s="5" t="s">
        <v>15</v>
      </c>
      <c r="B7" s="6" t="s">
        <v>16</v>
      </c>
      <c r="C7" s="7" t="s">
        <v>17</v>
      </c>
      <c r="D7" s="5" t="s">
        <v>31</v>
      </c>
      <c r="E7" s="8" t="n">
        <v>-33.987613</v>
      </c>
      <c r="F7" s="8" t="n">
        <v>18.970396</v>
      </c>
      <c r="G7" s="5" t="n">
        <v>370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6" t="s">
        <v>24</v>
      </c>
      <c r="N7" s="6" t="s">
        <v>25</v>
      </c>
      <c r="O7" s="6" t="s">
        <v>26</v>
      </c>
    </row>
    <row r="8" customFormat="false" ht="14.25" hidden="false" customHeight="true" outlineLevel="0" collapsed="false">
      <c r="A8" s="5" t="s">
        <v>15</v>
      </c>
      <c r="B8" s="6" t="s">
        <v>16</v>
      </c>
      <c r="C8" s="7" t="s">
        <v>17</v>
      </c>
      <c r="D8" s="5" t="s">
        <v>32</v>
      </c>
      <c r="E8" s="8" t="n">
        <v>-33.953928</v>
      </c>
      <c r="F8" s="8" t="n">
        <v>18.946987</v>
      </c>
      <c r="G8" s="5" t="n">
        <v>653</v>
      </c>
      <c r="H8" s="5" t="s">
        <v>33</v>
      </c>
      <c r="I8" s="5" t="s">
        <v>34</v>
      </c>
      <c r="J8" s="5" t="s">
        <v>34</v>
      </c>
      <c r="K8" s="5" t="s">
        <v>35</v>
      </c>
      <c r="L8" s="5" t="s">
        <v>36</v>
      </c>
      <c r="M8" s="6" t="s">
        <v>24</v>
      </c>
      <c r="N8" s="6" t="s">
        <v>37</v>
      </c>
      <c r="O8" s="6" t="s">
        <v>38</v>
      </c>
    </row>
    <row r="9" customFormat="false" ht="14.25" hidden="false" customHeight="true" outlineLevel="0" collapsed="false">
      <c r="A9" s="5" t="s">
        <v>15</v>
      </c>
      <c r="B9" s="6" t="s">
        <v>16</v>
      </c>
      <c r="C9" s="7" t="s">
        <v>17</v>
      </c>
      <c r="D9" s="5" t="s">
        <v>39</v>
      </c>
      <c r="E9" s="8" t="n">
        <v>-33.971872</v>
      </c>
      <c r="F9" s="8" t="n">
        <v>18.939977</v>
      </c>
      <c r="G9" s="7" t="n">
        <v>278</v>
      </c>
      <c r="H9" s="5" t="s">
        <v>33</v>
      </c>
      <c r="I9" s="5" t="s">
        <v>34</v>
      </c>
      <c r="J9" s="5" t="s">
        <v>34</v>
      </c>
      <c r="K9" s="5" t="s">
        <v>35</v>
      </c>
      <c r="L9" s="5" t="s">
        <v>36</v>
      </c>
      <c r="M9" s="6" t="s">
        <v>24</v>
      </c>
      <c r="N9" s="6" t="s">
        <v>37</v>
      </c>
      <c r="O9" s="6" t="s">
        <v>38</v>
      </c>
    </row>
    <row r="10" customFormat="false" ht="14.25" hidden="false" customHeight="true" outlineLevel="0" collapsed="false">
      <c r="A10" s="5" t="s">
        <v>15</v>
      </c>
      <c r="B10" s="6" t="s">
        <v>16</v>
      </c>
      <c r="C10" s="7" t="s">
        <v>17</v>
      </c>
      <c r="D10" s="5" t="s">
        <v>40</v>
      </c>
      <c r="E10" s="8" t="n">
        <v>-33.98761</v>
      </c>
      <c r="F10" s="8" t="n">
        <v>18.969968</v>
      </c>
      <c r="G10" s="7" t="n">
        <v>366</v>
      </c>
      <c r="H10" s="5" t="s">
        <v>33</v>
      </c>
      <c r="I10" s="5" t="s">
        <v>34</v>
      </c>
      <c r="J10" s="5" t="s">
        <v>34</v>
      </c>
      <c r="K10" s="5" t="s">
        <v>35</v>
      </c>
      <c r="L10" s="5" t="s">
        <v>36</v>
      </c>
      <c r="M10" s="6" t="s">
        <v>24</v>
      </c>
      <c r="N10" s="6" t="s">
        <v>37</v>
      </c>
      <c r="O10" s="6" t="s">
        <v>38</v>
      </c>
    </row>
    <row r="11" customFormat="false" ht="14.25" hidden="false" customHeight="true" outlineLevel="0" collapsed="false">
      <c r="A11" s="5" t="s">
        <v>15</v>
      </c>
      <c r="B11" s="6" t="s">
        <v>16</v>
      </c>
      <c r="C11" s="7" t="s">
        <v>17</v>
      </c>
      <c r="D11" s="5" t="s">
        <v>41</v>
      </c>
      <c r="E11" s="8" t="n">
        <v>-33.979186</v>
      </c>
      <c r="F11" s="8" t="n">
        <v>18.951363</v>
      </c>
      <c r="G11" s="7" t="n">
        <v>292</v>
      </c>
      <c r="H11" s="5" t="s">
        <v>33</v>
      </c>
      <c r="I11" s="5" t="s">
        <v>34</v>
      </c>
      <c r="J11" s="5" t="s">
        <v>34</v>
      </c>
      <c r="K11" s="5" t="s">
        <v>35</v>
      </c>
      <c r="L11" s="5" t="s">
        <v>36</v>
      </c>
      <c r="M11" s="6" t="s">
        <v>24</v>
      </c>
      <c r="N11" s="6" t="s">
        <v>37</v>
      </c>
      <c r="O11" s="6" t="s">
        <v>38</v>
      </c>
    </row>
    <row r="12" customFormat="false" ht="14.25" hidden="false" customHeight="true" outlineLevel="0" collapsed="false">
      <c r="A12" s="5" t="s">
        <v>15</v>
      </c>
      <c r="B12" s="6" t="s">
        <v>16</v>
      </c>
      <c r="C12" s="7" t="s">
        <v>17</v>
      </c>
      <c r="D12" s="5" t="s">
        <v>42</v>
      </c>
      <c r="E12" s="8" t="n">
        <v>-33.958802</v>
      </c>
      <c r="F12" s="8" t="n">
        <v>18.939447</v>
      </c>
      <c r="G12" s="7" t="n">
        <v>400</v>
      </c>
      <c r="H12" s="5" t="s">
        <v>33</v>
      </c>
      <c r="I12" s="5" t="s">
        <v>34</v>
      </c>
      <c r="J12" s="5" t="s">
        <v>34</v>
      </c>
      <c r="K12" s="5" t="s">
        <v>35</v>
      </c>
      <c r="L12" s="5" t="s">
        <v>36</v>
      </c>
      <c r="M12" s="6" t="s">
        <v>24</v>
      </c>
      <c r="N12" s="6" t="s">
        <v>37</v>
      </c>
      <c r="O12" s="6" t="s">
        <v>38</v>
      </c>
    </row>
    <row r="13" customFormat="false" ht="14.25" hidden="false" customHeight="true" outlineLevel="0" collapsed="false">
      <c r="A13" s="5" t="s">
        <v>15</v>
      </c>
      <c r="B13" s="6" t="s">
        <v>16</v>
      </c>
      <c r="C13" s="7" t="s">
        <v>17</v>
      </c>
      <c r="D13" s="5" t="s">
        <v>43</v>
      </c>
      <c r="E13" s="8" t="n">
        <v>-33.972991</v>
      </c>
      <c r="F13" s="8" t="n">
        <v>18.949299</v>
      </c>
      <c r="G13" s="7" t="n">
        <v>337</v>
      </c>
      <c r="H13" s="5" t="s">
        <v>33</v>
      </c>
      <c r="I13" s="5" t="s">
        <v>34</v>
      </c>
      <c r="J13" s="5" t="s">
        <v>34</v>
      </c>
      <c r="K13" s="5" t="s">
        <v>35</v>
      </c>
      <c r="L13" s="5" t="s">
        <v>36</v>
      </c>
      <c r="M13" s="6" t="s">
        <v>24</v>
      </c>
      <c r="N13" s="6" t="s">
        <v>37</v>
      </c>
      <c r="O13" s="6" t="s">
        <v>38</v>
      </c>
    </row>
    <row r="14" customFormat="false" ht="14.25" hidden="false" customHeight="true" outlineLevel="0" collapsed="false">
      <c r="A14" s="5" t="s">
        <v>15</v>
      </c>
      <c r="B14" s="6" t="s">
        <v>16</v>
      </c>
      <c r="C14" s="7" t="s">
        <v>17</v>
      </c>
      <c r="D14" s="5" t="s">
        <v>44</v>
      </c>
      <c r="E14" s="8" t="n">
        <v>-33.975755</v>
      </c>
      <c r="F14" s="8" t="n">
        <v>18.957398</v>
      </c>
      <c r="G14" s="7" t="n">
        <v>439</v>
      </c>
      <c r="H14" s="5" t="s">
        <v>33</v>
      </c>
      <c r="I14" s="5" t="s">
        <v>34</v>
      </c>
      <c r="J14" s="5" t="s">
        <v>34</v>
      </c>
      <c r="K14" s="5" t="s">
        <v>35</v>
      </c>
      <c r="L14" s="5" t="s">
        <v>36</v>
      </c>
      <c r="M14" s="6" t="s">
        <v>24</v>
      </c>
      <c r="N14" s="6" t="s">
        <v>37</v>
      </c>
      <c r="O14" s="6" t="s">
        <v>38</v>
      </c>
    </row>
    <row r="15" customFormat="false" ht="14.25" hidden="false" customHeight="true" outlineLevel="0" collapsed="false">
      <c r="A15" s="5" t="s">
        <v>15</v>
      </c>
      <c r="B15" s="6" t="s">
        <v>16</v>
      </c>
      <c r="C15" s="7" t="s">
        <v>17</v>
      </c>
      <c r="D15" s="5" t="s">
        <v>45</v>
      </c>
      <c r="E15" s="8" t="n">
        <v>-33.982677</v>
      </c>
      <c r="F15" s="8" t="n">
        <v>18.976184</v>
      </c>
      <c r="G15" s="7" t="n">
        <v>472</v>
      </c>
      <c r="H15" s="5" t="s">
        <v>33</v>
      </c>
      <c r="I15" s="5" t="s">
        <v>34</v>
      </c>
      <c r="J15" s="5" t="s">
        <v>34</v>
      </c>
      <c r="K15" s="5" t="s">
        <v>35</v>
      </c>
      <c r="L15" s="5" t="s">
        <v>36</v>
      </c>
      <c r="M15" s="6" t="s">
        <v>24</v>
      </c>
      <c r="N15" s="6" t="s">
        <v>37</v>
      </c>
      <c r="O15" s="6" t="s">
        <v>38</v>
      </c>
    </row>
    <row r="16" customFormat="false" ht="14.25" hidden="false" customHeight="true" outlineLevel="0" collapsed="false">
      <c r="A16" s="5" t="s">
        <v>15</v>
      </c>
      <c r="B16" s="6" t="s">
        <v>16</v>
      </c>
      <c r="C16" s="7" t="s">
        <v>17</v>
      </c>
      <c r="D16" s="5" t="s">
        <v>46</v>
      </c>
      <c r="E16" s="8" t="n">
        <v>-33.966319</v>
      </c>
      <c r="F16" s="8" t="n">
        <v>18.940393</v>
      </c>
      <c r="G16" s="7" t="n">
        <v>310</v>
      </c>
      <c r="H16" s="5" t="s">
        <v>33</v>
      </c>
      <c r="I16" s="5" t="s">
        <v>34</v>
      </c>
      <c r="J16" s="5" t="s">
        <v>34</v>
      </c>
      <c r="K16" s="5" t="s">
        <v>35</v>
      </c>
      <c r="L16" s="5" t="s">
        <v>36</v>
      </c>
      <c r="M16" s="6" t="s">
        <v>24</v>
      </c>
      <c r="N16" s="6" t="s">
        <v>37</v>
      </c>
      <c r="O16" s="6" t="s">
        <v>38</v>
      </c>
    </row>
    <row r="17" customFormat="false" ht="14.25" hidden="false" customHeight="true" outlineLevel="0" collapsed="false">
      <c r="A17" s="5" t="s">
        <v>15</v>
      </c>
      <c r="B17" s="6" t="s">
        <v>16</v>
      </c>
      <c r="C17" s="7" t="s">
        <v>17</v>
      </c>
      <c r="D17" s="5" t="s">
        <v>47</v>
      </c>
      <c r="E17" s="8" t="n">
        <v>-33.976028</v>
      </c>
      <c r="F17" s="8" t="n">
        <v>18.948315</v>
      </c>
      <c r="G17" s="7" t="n">
        <v>298</v>
      </c>
      <c r="H17" s="5" t="s">
        <v>33</v>
      </c>
      <c r="I17" s="5" t="s">
        <v>34</v>
      </c>
      <c r="J17" s="5" t="s">
        <v>34</v>
      </c>
      <c r="K17" s="5" t="s">
        <v>35</v>
      </c>
      <c r="L17" s="5" t="s">
        <v>36</v>
      </c>
      <c r="M17" s="6" t="s">
        <v>24</v>
      </c>
      <c r="N17" s="6" t="s">
        <v>37</v>
      </c>
      <c r="O17" s="6" t="s">
        <v>38</v>
      </c>
    </row>
    <row r="18" customFormat="false" ht="14.25" hidden="false" customHeight="true" outlineLevel="0" collapsed="false">
      <c r="A18" s="5" t="s">
        <v>15</v>
      </c>
      <c r="B18" s="6" t="s">
        <v>16</v>
      </c>
      <c r="C18" s="7" t="s">
        <v>17</v>
      </c>
      <c r="D18" s="5" t="s">
        <v>48</v>
      </c>
      <c r="E18" s="8" t="n">
        <v>-33.988138</v>
      </c>
      <c r="F18" s="8" t="n">
        <v>18.951429</v>
      </c>
      <c r="G18" s="7" t="n">
        <v>409</v>
      </c>
      <c r="H18" s="5" t="s">
        <v>33</v>
      </c>
      <c r="I18" s="5" t="s">
        <v>34</v>
      </c>
      <c r="J18" s="5" t="s">
        <v>34</v>
      </c>
      <c r="K18" s="5" t="s">
        <v>35</v>
      </c>
      <c r="L18" s="5" t="s">
        <v>36</v>
      </c>
      <c r="M18" s="6" t="s">
        <v>24</v>
      </c>
      <c r="N18" s="6" t="s">
        <v>37</v>
      </c>
      <c r="O18" s="6" t="s">
        <v>38</v>
      </c>
    </row>
    <row r="19" customFormat="false" ht="14.25" hidden="false" customHeight="true" outlineLevel="0" collapsed="false">
      <c r="A19" s="5" t="s">
        <v>15</v>
      </c>
      <c r="B19" s="6" t="s">
        <v>16</v>
      </c>
      <c r="C19" s="7" t="s">
        <v>17</v>
      </c>
      <c r="D19" s="5" t="s">
        <v>49</v>
      </c>
      <c r="E19" s="8" t="n">
        <v>-33.980476</v>
      </c>
      <c r="F19" s="8" t="n">
        <v>18.932897</v>
      </c>
      <c r="G19" s="5" t="n">
        <v>490</v>
      </c>
      <c r="H19" s="5" t="s">
        <v>33</v>
      </c>
      <c r="I19" s="5" t="s">
        <v>34</v>
      </c>
      <c r="J19" s="5" t="s">
        <v>34</v>
      </c>
      <c r="K19" s="5" t="s">
        <v>35</v>
      </c>
      <c r="L19" s="5" t="s">
        <v>36</v>
      </c>
      <c r="M19" s="6" t="s">
        <v>24</v>
      </c>
      <c r="N19" s="6" t="s">
        <v>37</v>
      </c>
      <c r="O19" s="6" t="s">
        <v>38</v>
      </c>
    </row>
    <row r="20" customFormat="false" ht="14.25" hidden="false" customHeight="true" outlineLevel="0" collapsed="false">
      <c r="A20" s="5" t="s">
        <v>15</v>
      </c>
      <c r="B20" s="6" t="s">
        <v>16</v>
      </c>
      <c r="C20" s="7" t="s">
        <v>17</v>
      </c>
      <c r="D20" s="5" t="s">
        <v>50</v>
      </c>
      <c r="E20" s="8" t="n">
        <v>-33.949928</v>
      </c>
      <c r="F20" s="8" t="n">
        <v>18.947671</v>
      </c>
      <c r="G20" s="5" t="n">
        <v>873</v>
      </c>
      <c r="H20" s="5" t="s">
        <v>33</v>
      </c>
      <c r="I20" s="5" t="s">
        <v>34</v>
      </c>
      <c r="J20" s="5" t="s">
        <v>34</v>
      </c>
      <c r="K20" s="5" t="s">
        <v>35</v>
      </c>
      <c r="L20" s="5" t="s">
        <v>36</v>
      </c>
      <c r="M20" s="6" t="s">
        <v>24</v>
      </c>
      <c r="N20" s="6" t="s">
        <v>37</v>
      </c>
      <c r="O20" s="6" t="s">
        <v>38</v>
      </c>
    </row>
    <row r="21" customFormat="false" ht="14.25" hidden="false" customHeight="true" outlineLevel="0" collapsed="false">
      <c r="A21" s="5" t="s">
        <v>15</v>
      </c>
      <c r="B21" s="6" t="s">
        <v>16</v>
      </c>
      <c r="C21" s="7" t="s">
        <v>17</v>
      </c>
      <c r="D21" s="5" t="s">
        <v>51</v>
      </c>
      <c r="E21" s="8" t="n">
        <v>-33.99468</v>
      </c>
      <c r="F21" s="8" t="n">
        <v>18.955551</v>
      </c>
      <c r="G21" s="5" t="n">
        <v>416</v>
      </c>
      <c r="H21" s="5" t="s">
        <v>33</v>
      </c>
      <c r="I21" s="5" t="s">
        <v>34</v>
      </c>
      <c r="J21" s="5" t="s">
        <v>34</v>
      </c>
      <c r="K21" s="5" t="s">
        <v>35</v>
      </c>
      <c r="L21" s="5" t="s">
        <v>36</v>
      </c>
      <c r="M21" s="6" t="s">
        <v>24</v>
      </c>
      <c r="N21" s="6" t="s">
        <v>37</v>
      </c>
      <c r="O21" s="6" t="s">
        <v>38</v>
      </c>
    </row>
    <row r="22" customFormat="false" ht="14.25" hidden="false" customHeight="true" outlineLevel="0" collapsed="false">
      <c r="A22" s="5" t="s">
        <v>15</v>
      </c>
      <c r="B22" s="6" t="s">
        <v>16</v>
      </c>
      <c r="C22" s="7" t="s">
        <v>17</v>
      </c>
      <c r="D22" s="5" t="s">
        <v>52</v>
      </c>
      <c r="E22" s="10" t="n">
        <v>-33.999667</v>
      </c>
      <c r="F22" s="10" t="n">
        <v>19.012972</v>
      </c>
      <c r="G22" s="11" t="n">
        <v>1214</v>
      </c>
      <c r="H22" s="5" t="s">
        <v>33</v>
      </c>
      <c r="I22" s="5" t="s">
        <v>53</v>
      </c>
      <c r="J22" s="5" t="s">
        <v>53</v>
      </c>
      <c r="K22" s="5" t="s">
        <v>54</v>
      </c>
      <c r="L22" s="5" t="s">
        <v>55</v>
      </c>
      <c r="M22" s="6" t="s">
        <v>24</v>
      </c>
      <c r="N22" s="6" t="s">
        <v>25</v>
      </c>
      <c r="O22" s="6" t="s">
        <v>26</v>
      </c>
    </row>
    <row r="23" customFormat="false" ht="14.25" hidden="false" customHeight="true" outlineLevel="0" collapsed="false">
      <c r="A23" s="5" t="s">
        <v>15</v>
      </c>
      <c r="B23" s="6" t="s">
        <v>16</v>
      </c>
      <c r="C23" s="7" t="s">
        <v>17</v>
      </c>
      <c r="D23" s="5" t="s">
        <v>56</v>
      </c>
      <c r="E23" s="8" t="n">
        <v>-33.97843</v>
      </c>
      <c r="F23" s="8" t="n">
        <v>18.98284</v>
      </c>
      <c r="G23" s="5" t="n">
        <v>800</v>
      </c>
      <c r="H23" s="5" t="s">
        <v>33</v>
      </c>
      <c r="I23" s="5" t="s">
        <v>53</v>
      </c>
      <c r="J23" s="5" t="s">
        <v>53</v>
      </c>
      <c r="K23" s="5" t="s">
        <v>57</v>
      </c>
      <c r="L23" s="5" t="s">
        <v>58</v>
      </c>
      <c r="M23" s="6" t="s">
        <v>24</v>
      </c>
      <c r="N23" s="6" t="s">
        <v>25</v>
      </c>
      <c r="O23" s="6" t="s">
        <v>26</v>
      </c>
    </row>
    <row r="24" customFormat="false" ht="14.25" hidden="false" customHeight="true" outlineLevel="0" collapsed="false">
      <c r="A24" s="5" t="s">
        <v>15</v>
      </c>
      <c r="B24" s="6" t="s">
        <v>16</v>
      </c>
      <c r="C24" s="7" t="s">
        <v>17</v>
      </c>
      <c r="D24" s="5" t="s">
        <v>59</v>
      </c>
      <c r="E24" s="8" t="n">
        <v>-33.97808</v>
      </c>
      <c r="F24" s="8" t="n">
        <v>18.97474</v>
      </c>
      <c r="G24" s="5" t="n">
        <v>700</v>
      </c>
      <c r="H24" s="5" t="s">
        <v>33</v>
      </c>
      <c r="I24" s="5" t="s">
        <v>53</v>
      </c>
      <c r="J24" s="5" t="s">
        <v>53</v>
      </c>
      <c r="K24" s="5" t="s">
        <v>57</v>
      </c>
      <c r="L24" s="5" t="s">
        <v>58</v>
      </c>
      <c r="M24" s="6" t="s">
        <v>24</v>
      </c>
      <c r="N24" s="6" t="s">
        <v>25</v>
      </c>
      <c r="O24" s="6" t="s">
        <v>26</v>
      </c>
    </row>
    <row r="25" customFormat="false" ht="14.25" hidden="false" customHeight="true" outlineLevel="0" collapsed="false">
      <c r="A25" s="5" t="s">
        <v>15</v>
      </c>
      <c r="B25" s="6" t="s">
        <v>16</v>
      </c>
      <c r="C25" s="7" t="s">
        <v>17</v>
      </c>
      <c r="D25" s="5" t="s">
        <v>60</v>
      </c>
      <c r="E25" s="8" t="n">
        <v>-33.98184</v>
      </c>
      <c r="F25" s="8" t="n">
        <v>18.97064</v>
      </c>
      <c r="G25" s="5" t="n">
        <v>600</v>
      </c>
      <c r="H25" s="5" t="s">
        <v>33</v>
      </c>
      <c r="I25" s="5" t="s">
        <v>53</v>
      </c>
      <c r="J25" s="5" t="s">
        <v>53</v>
      </c>
      <c r="K25" s="5" t="s">
        <v>57</v>
      </c>
      <c r="L25" s="5" t="s">
        <v>58</v>
      </c>
      <c r="M25" s="6" t="s">
        <v>24</v>
      </c>
      <c r="N25" s="6" t="s">
        <v>25</v>
      </c>
      <c r="O25" s="6" t="s">
        <v>26</v>
      </c>
    </row>
    <row r="26" customFormat="false" ht="14.25" hidden="false" customHeight="true" outlineLevel="0" collapsed="false">
      <c r="A26" s="5" t="s">
        <v>15</v>
      </c>
      <c r="B26" s="6" t="s">
        <v>16</v>
      </c>
      <c r="C26" s="7" t="s">
        <v>17</v>
      </c>
      <c r="D26" s="5" t="s">
        <v>61</v>
      </c>
      <c r="E26" s="8" t="n">
        <v>-33.98376</v>
      </c>
      <c r="F26" s="8" t="n">
        <v>18.96977</v>
      </c>
      <c r="G26" s="5" t="n">
        <v>500</v>
      </c>
      <c r="H26" s="5" t="s">
        <v>33</v>
      </c>
      <c r="I26" s="5" t="s">
        <v>53</v>
      </c>
      <c r="J26" s="5" t="s">
        <v>53</v>
      </c>
      <c r="K26" s="5" t="s">
        <v>57</v>
      </c>
      <c r="L26" s="5" t="s">
        <v>58</v>
      </c>
      <c r="M26" s="6" t="s">
        <v>24</v>
      </c>
      <c r="N26" s="6" t="s">
        <v>25</v>
      </c>
      <c r="O26" s="6" t="s">
        <v>26</v>
      </c>
    </row>
    <row r="27" customFormat="false" ht="14.25" hidden="false" customHeight="true" outlineLevel="0" collapsed="false">
      <c r="A27" s="12" t="s">
        <v>15</v>
      </c>
      <c r="B27" s="6" t="s">
        <v>16</v>
      </c>
      <c r="C27" s="13" t="s">
        <v>17</v>
      </c>
      <c r="D27" s="12" t="s">
        <v>62</v>
      </c>
      <c r="E27" s="8" t="n">
        <v>-33.990289</v>
      </c>
      <c r="F27" s="8" t="n">
        <v>18.95543</v>
      </c>
      <c r="G27" s="12"/>
      <c r="H27" s="12" t="s">
        <v>63</v>
      </c>
      <c r="I27" s="12" t="s">
        <v>64</v>
      </c>
      <c r="J27" s="12" t="s">
        <v>65</v>
      </c>
      <c r="K27" s="12" t="s">
        <v>66</v>
      </c>
      <c r="L27" s="12" t="s">
        <v>67</v>
      </c>
      <c r="M27" s="6" t="s">
        <v>24</v>
      </c>
      <c r="N27" s="13" t="s">
        <v>68</v>
      </c>
      <c r="O27" s="6" t="s">
        <v>69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customFormat="false" ht="14.25" hidden="false" customHeight="true" outlineLevel="0" collapsed="false">
      <c r="A28" s="5" t="s">
        <v>15</v>
      </c>
      <c r="B28" s="6" t="s">
        <v>16</v>
      </c>
      <c r="C28" s="7" t="s">
        <v>70</v>
      </c>
      <c r="D28" s="5" t="s">
        <v>71</v>
      </c>
      <c r="E28" s="8" t="n">
        <v>-33.949319</v>
      </c>
      <c r="F28" s="8" t="n">
        <v>18.462647</v>
      </c>
      <c r="G28" s="5" t="n">
        <v>86</v>
      </c>
      <c r="H28" s="5" t="s">
        <v>33</v>
      </c>
      <c r="I28" s="5" t="s">
        <v>53</v>
      </c>
      <c r="J28" s="5" t="s">
        <v>53</v>
      </c>
      <c r="K28" s="5" t="s">
        <v>72</v>
      </c>
      <c r="L28" s="5" t="s">
        <v>23</v>
      </c>
      <c r="M28" s="6" t="s">
        <v>73</v>
      </c>
      <c r="N28" s="6" t="s">
        <v>37</v>
      </c>
      <c r="O28" s="6" t="s">
        <v>38</v>
      </c>
    </row>
    <row r="29" customFormat="false" ht="14.25" hidden="false" customHeight="true" outlineLevel="0" collapsed="false">
      <c r="A29" s="5" t="s">
        <v>15</v>
      </c>
      <c r="B29" s="6" t="s">
        <v>16</v>
      </c>
      <c r="C29" s="7" t="s">
        <v>70</v>
      </c>
      <c r="D29" s="5" t="s">
        <v>74</v>
      </c>
      <c r="E29" s="8" t="n">
        <v>-33.949319</v>
      </c>
      <c r="F29" s="8" t="n">
        <v>18.462647</v>
      </c>
      <c r="G29" s="5" t="n">
        <v>86</v>
      </c>
      <c r="H29" s="5" t="s">
        <v>33</v>
      </c>
      <c r="I29" s="5" t="s">
        <v>34</v>
      </c>
      <c r="J29" s="5" t="s">
        <v>34</v>
      </c>
      <c r="K29" s="5" t="s">
        <v>35</v>
      </c>
      <c r="L29" s="5" t="s">
        <v>36</v>
      </c>
      <c r="M29" s="6" t="s">
        <v>24</v>
      </c>
      <c r="N29" s="6" t="s">
        <v>37</v>
      </c>
      <c r="O29" s="6" t="s">
        <v>38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customFormat="false" ht="14.25" hidden="false" customHeight="true" outlineLevel="0" collapsed="false">
      <c r="A30" s="5" t="s">
        <v>15</v>
      </c>
      <c r="B30" s="6" t="s">
        <v>16</v>
      </c>
      <c r="C30" s="7" t="s">
        <v>70</v>
      </c>
      <c r="D30" s="5" t="s">
        <v>75</v>
      </c>
      <c r="E30" s="8" t="n">
        <v>-33.948398</v>
      </c>
      <c r="F30" s="8" t="n">
        <v>18.464681</v>
      </c>
      <c r="G30" s="5" t="n">
        <v>48</v>
      </c>
      <c r="H30" s="5" t="s">
        <v>19</v>
      </c>
      <c r="I30" s="5" t="s">
        <v>76</v>
      </c>
      <c r="J30" s="5" t="s">
        <v>77</v>
      </c>
      <c r="K30" s="5" t="s">
        <v>78</v>
      </c>
      <c r="L30" s="5" t="s">
        <v>79</v>
      </c>
      <c r="M30" s="6" t="s">
        <v>24</v>
      </c>
      <c r="N30" s="6" t="s">
        <v>37</v>
      </c>
      <c r="O30" s="6" t="s">
        <v>38</v>
      </c>
    </row>
    <row r="31" customFormat="false" ht="14.25" hidden="false" customHeight="true" outlineLevel="0" collapsed="false">
      <c r="A31" s="5" t="s">
        <v>15</v>
      </c>
      <c r="B31" s="6" t="s">
        <v>16</v>
      </c>
      <c r="C31" s="7" t="s">
        <v>70</v>
      </c>
      <c r="D31" s="5" t="s">
        <v>80</v>
      </c>
      <c r="E31" s="8" t="n">
        <v>-33.948288</v>
      </c>
      <c r="F31" s="8" t="n">
        <v>18.465317</v>
      </c>
      <c r="G31" s="5" t="n">
        <v>43</v>
      </c>
      <c r="H31" s="5" t="s">
        <v>19</v>
      </c>
      <c r="I31" s="5" t="s">
        <v>76</v>
      </c>
      <c r="J31" s="5" t="s">
        <v>77</v>
      </c>
      <c r="K31" s="5" t="s">
        <v>78</v>
      </c>
      <c r="L31" s="5" t="s">
        <v>79</v>
      </c>
      <c r="M31" s="6" t="s">
        <v>24</v>
      </c>
      <c r="N31" s="6" t="s">
        <v>37</v>
      </c>
      <c r="O31" s="6" t="s">
        <v>38</v>
      </c>
    </row>
    <row r="32" customFormat="false" ht="14.25" hidden="false" customHeight="true" outlineLevel="0" collapsed="false">
      <c r="A32" s="5" t="s">
        <v>15</v>
      </c>
      <c r="B32" s="6" t="s">
        <v>16</v>
      </c>
      <c r="C32" s="7" t="s">
        <v>70</v>
      </c>
      <c r="D32" s="5" t="s">
        <v>81</v>
      </c>
      <c r="E32" s="8" t="n">
        <v>-33.947626</v>
      </c>
      <c r="F32" s="8" t="n">
        <v>18.465857</v>
      </c>
      <c r="G32" s="5" t="n">
        <v>40</v>
      </c>
      <c r="H32" s="5" t="s">
        <v>19</v>
      </c>
      <c r="I32" s="5" t="s">
        <v>76</v>
      </c>
      <c r="J32" s="5" t="s">
        <v>77</v>
      </c>
      <c r="K32" s="5" t="s">
        <v>78</v>
      </c>
      <c r="L32" s="5" t="s">
        <v>79</v>
      </c>
      <c r="M32" s="6" t="s">
        <v>24</v>
      </c>
      <c r="N32" s="6" t="s">
        <v>37</v>
      </c>
      <c r="O32" s="6" t="s">
        <v>38</v>
      </c>
    </row>
    <row r="33" customFormat="false" ht="14.25" hidden="false" customHeight="true" outlineLevel="0" collapsed="false">
      <c r="A33" s="5" t="s">
        <v>15</v>
      </c>
      <c r="B33" s="6" t="s">
        <v>16</v>
      </c>
      <c r="C33" s="7" t="s">
        <v>70</v>
      </c>
      <c r="D33" s="5" t="s">
        <v>82</v>
      </c>
      <c r="E33" s="8" t="n">
        <v>-33.948135</v>
      </c>
      <c r="F33" s="8" t="n">
        <v>18.466112</v>
      </c>
      <c r="G33" s="5" t="n">
        <v>40</v>
      </c>
      <c r="H33" s="5" t="s">
        <v>19</v>
      </c>
      <c r="I33" s="5" t="s">
        <v>76</v>
      </c>
      <c r="J33" s="5" t="s">
        <v>77</v>
      </c>
      <c r="K33" s="5" t="s">
        <v>78</v>
      </c>
      <c r="L33" s="5" t="s">
        <v>79</v>
      </c>
      <c r="M33" s="6" t="s">
        <v>24</v>
      </c>
      <c r="N33" s="6" t="s">
        <v>37</v>
      </c>
      <c r="O33" s="6" t="s">
        <v>38</v>
      </c>
    </row>
    <row r="34" customFormat="false" ht="14.25" hidden="false" customHeight="true" outlineLevel="0" collapsed="false">
      <c r="A34" s="5" t="s">
        <v>15</v>
      </c>
      <c r="B34" s="6" t="s">
        <v>16</v>
      </c>
      <c r="C34" s="7" t="s">
        <v>70</v>
      </c>
      <c r="D34" s="5" t="s">
        <v>83</v>
      </c>
      <c r="E34" s="8" t="n">
        <v>-34.055007</v>
      </c>
      <c r="F34" s="8" t="n">
        <v>18.38745</v>
      </c>
      <c r="G34" s="5" t="n">
        <v>890</v>
      </c>
      <c r="H34" s="5" t="s">
        <v>33</v>
      </c>
      <c r="I34" s="5" t="s">
        <v>53</v>
      </c>
      <c r="J34" s="5" t="s">
        <v>53</v>
      </c>
      <c r="K34" s="5" t="s">
        <v>84</v>
      </c>
      <c r="L34" s="5" t="s">
        <v>79</v>
      </c>
      <c r="M34" s="6" t="s">
        <v>24</v>
      </c>
      <c r="N34" s="6" t="s">
        <v>25</v>
      </c>
      <c r="O34" s="6" t="s">
        <v>26</v>
      </c>
    </row>
    <row r="35" customFormat="false" ht="14.25" hidden="false" customHeight="true" outlineLevel="0" collapsed="false">
      <c r="A35" s="5" t="s">
        <v>15</v>
      </c>
      <c r="B35" s="6" t="s">
        <v>16</v>
      </c>
      <c r="C35" s="7" t="s">
        <v>85</v>
      </c>
      <c r="D35" s="7" t="s">
        <v>86</v>
      </c>
      <c r="E35" s="14" t="n">
        <v>-32.34862845</v>
      </c>
      <c r="F35" s="14" t="n">
        <v>19.17024213</v>
      </c>
      <c r="G35" s="5" t="n">
        <v>1576</v>
      </c>
      <c r="H35" s="5" t="s">
        <v>33</v>
      </c>
      <c r="I35" s="5" t="s">
        <v>34</v>
      </c>
      <c r="J35" s="5" t="s">
        <v>34</v>
      </c>
      <c r="K35" s="5" t="s">
        <v>35</v>
      </c>
      <c r="L35" s="5" t="s">
        <v>36</v>
      </c>
      <c r="M35" s="6" t="s">
        <v>24</v>
      </c>
      <c r="N35" s="6" t="s">
        <v>37</v>
      </c>
      <c r="O35" s="6" t="s">
        <v>87</v>
      </c>
    </row>
    <row r="36" customFormat="false" ht="14.25" hidden="false" customHeight="true" outlineLevel="0" collapsed="false">
      <c r="A36" s="5" t="s">
        <v>15</v>
      </c>
      <c r="B36" s="6" t="s">
        <v>16</v>
      </c>
      <c r="C36" s="7" t="s">
        <v>85</v>
      </c>
      <c r="D36" s="7" t="s">
        <v>88</v>
      </c>
      <c r="E36" s="14" t="n">
        <v>-32.35355187</v>
      </c>
      <c r="F36" s="14" t="n">
        <v>19.15030551</v>
      </c>
      <c r="G36" s="7" t="n">
        <v>1537</v>
      </c>
      <c r="H36" s="5" t="s">
        <v>33</v>
      </c>
      <c r="I36" s="5" t="s">
        <v>53</v>
      </c>
      <c r="J36" s="5" t="s">
        <v>53</v>
      </c>
      <c r="K36" s="5" t="s">
        <v>89</v>
      </c>
      <c r="L36" s="5" t="s">
        <v>36</v>
      </c>
      <c r="M36" s="6" t="s">
        <v>24</v>
      </c>
      <c r="N36" s="6" t="s">
        <v>25</v>
      </c>
      <c r="O36" s="6" t="s">
        <v>26</v>
      </c>
    </row>
    <row r="37" customFormat="false" ht="14.25" hidden="false" customHeight="true" outlineLevel="0" collapsed="false">
      <c r="A37" s="5" t="s">
        <v>15</v>
      </c>
      <c r="B37" s="6" t="s">
        <v>16</v>
      </c>
      <c r="C37" s="7" t="s">
        <v>85</v>
      </c>
      <c r="D37" s="7" t="s">
        <v>90</v>
      </c>
      <c r="E37" s="14" t="n">
        <v>-32.48524612</v>
      </c>
      <c r="F37" s="14" t="n">
        <v>19.16132639</v>
      </c>
      <c r="G37" s="7" t="n">
        <v>1310</v>
      </c>
      <c r="H37" s="5" t="s">
        <v>33</v>
      </c>
      <c r="I37" s="5" t="s">
        <v>34</v>
      </c>
      <c r="J37" s="5" t="s">
        <v>34</v>
      </c>
      <c r="K37" s="5" t="s">
        <v>35</v>
      </c>
      <c r="L37" s="5" t="s">
        <v>36</v>
      </c>
      <c r="M37" s="6" t="s">
        <v>24</v>
      </c>
      <c r="N37" s="6" t="s">
        <v>37</v>
      </c>
      <c r="O37" s="6" t="s">
        <v>87</v>
      </c>
    </row>
    <row r="38" customFormat="false" ht="14.25" hidden="false" customHeight="true" outlineLevel="0" collapsed="false">
      <c r="A38" s="5" t="s">
        <v>91</v>
      </c>
      <c r="B38" s="6" t="s">
        <v>16</v>
      </c>
      <c r="C38" s="7" t="s">
        <v>17</v>
      </c>
      <c r="D38" s="5" t="s">
        <v>92</v>
      </c>
      <c r="E38" s="8" t="n">
        <v>-33.98629</v>
      </c>
      <c r="F38" s="8" t="n">
        <v>18.954605</v>
      </c>
      <c r="G38" s="5" t="n">
        <v>318</v>
      </c>
      <c r="H38" s="5" t="s">
        <v>33</v>
      </c>
      <c r="I38" s="5" t="s">
        <v>53</v>
      </c>
      <c r="J38" s="5" t="s">
        <v>53</v>
      </c>
      <c r="K38" s="5" t="s">
        <v>93</v>
      </c>
      <c r="L38" s="5" t="s">
        <v>23</v>
      </c>
      <c r="M38" s="6" t="s">
        <v>24</v>
      </c>
      <c r="N38" s="6" t="s">
        <v>94</v>
      </c>
    </row>
    <row r="39" customFormat="false" ht="14.25" hidden="false" customHeight="true" outlineLevel="0" collapsed="false">
      <c r="A39" s="5" t="s">
        <v>95</v>
      </c>
      <c r="B39" s="6" t="s">
        <v>16</v>
      </c>
      <c r="C39" s="7" t="s">
        <v>17</v>
      </c>
      <c r="D39" s="5" t="s">
        <v>96</v>
      </c>
      <c r="E39" s="8" t="n">
        <v>-33.967</v>
      </c>
      <c r="F39" s="8" t="n">
        <v>18.922</v>
      </c>
      <c r="G39" s="5" t="n">
        <v>239</v>
      </c>
      <c r="H39" s="5" t="s">
        <v>33</v>
      </c>
      <c r="I39" s="5" t="s">
        <v>53</v>
      </c>
      <c r="J39" s="5" t="s">
        <v>53</v>
      </c>
      <c r="K39" s="5" t="s">
        <v>97</v>
      </c>
      <c r="L39" s="5" t="s">
        <v>23</v>
      </c>
      <c r="M39" s="6" t="s">
        <v>24</v>
      </c>
      <c r="N39" s="6" t="s">
        <v>98</v>
      </c>
    </row>
    <row r="40" customFormat="false" ht="14.25" hidden="false" customHeight="true" outlineLevel="0" collapsed="false">
      <c r="A40" s="5" t="s">
        <v>99</v>
      </c>
      <c r="B40" s="6" t="s">
        <v>16</v>
      </c>
      <c r="C40" s="7" t="s">
        <v>70</v>
      </c>
      <c r="D40" s="7" t="s">
        <v>100</v>
      </c>
      <c r="E40" s="14" t="n">
        <v>-33.9565883481517</v>
      </c>
      <c r="F40" s="14" t="n">
        <v>18.4238848423431</v>
      </c>
      <c r="G40" s="7" t="n">
        <v>460</v>
      </c>
      <c r="H40" s="5" t="s">
        <v>33</v>
      </c>
      <c r="I40" s="5" t="s">
        <v>101</v>
      </c>
      <c r="J40" s="5" t="s">
        <v>102</v>
      </c>
      <c r="K40" s="5" t="s">
        <v>103</v>
      </c>
      <c r="L40" s="5" t="s">
        <v>104</v>
      </c>
      <c r="M40" s="6" t="s">
        <v>73</v>
      </c>
      <c r="N40" s="6" t="s">
        <v>37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4.25" hidden="false" customHeight="true" outlineLevel="0" collapsed="false">
      <c r="A41" s="5" t="s">
        <v>99</v>
      </c>
      <c r="B41" s="6" t="s">
        <v>16</v>
      </c>
      <c r="C41" s="7" t="s">
        <v>70</v>
      </c>
      <c r="D41" s="7" t="s">
        <v>105</v>
      </c>
      <c r="E41" s="14" t="n">
        <v>-33.9582286098984</v>
      </c>
      <c r="F41" s="14" t="n">
        <v>18.4337782192486</v>
      </c>
      <c r="G41" s="7" t="n">
        <v>698</v>
      </c>
      <c r="H41" s="5" t="s">
        <v>33</v>
      </c>
      <c r="I41" s="5" t="s">
        <v>101</v>
      </c>
      <c r="J41" s="5" t="s">
        <v>102</v>
      </c>
      <c r="K41" s="5" t="s">
        <v>103</v>
      </c>
      <c r="L41" s="5" t="s">
        <v>104</v>
      </c>
      <c r="M41" s="6" t="s">
        <v>73</v>
      </c>
      <c r="N41" s="6" t="s">
        <v>37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4.25" hidden="false" customHeight="true" outlineLevel="0" collapsed="false">
      <c r="A42" s="5" t="s">
        <v>99</v>
      </c>
      <c r="B42" s="6" t="s">
        <v>16</v>
      </c>
      <c r="C42" s="7" t="s">
        <v>70</v>
      </c>
      <c r="D42" s="7" t="s">
        <v>106</v>
      </c>
      <c r="E42" s="14" t="n">
        <v>-33.9530416425349</v>
      </c>
      <c r="F42" s="14" t="n">
        <v>18.4375258011238</v>
      </c>
      <c r="G42" s="7" t="n">
        <v>815</v>
      </c>
      <c r="H42" s="5" t="s">
        <v>33</v>
      </c>
      <c r="I42" s="5" t="s">
        <v>101</v>
      </c>
      <c r="J42" s="5" t="s">
        <v>102</v>
      </c>
      <c r="K42" s="5" t="s">
        <v>103</v>
      </c>
      <c r="L42" s="5" t="s">
        <v>104</v>
      </c>
      <c r="M42" s="6" t="s">
        <v>73</v>
      </c>
      <c r="N42" s="6" t="s">
        <v>37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4.25" hidden="false" customHeight="true" outlineLevel="0" collapsed="false">
      <c r="A43" s="5" t="s">
        <v>99</v>
      </c>
      <c r="B43" s="6" t="s">
        <v>16</v>
      </c>
      <c r="C43" s="7" t="s">
        <v>70</v>
      </c>
      <c r="D43" s="7" t="s">
        <v>107</v>
      </c>
      <c r="E43" s="14" t="n">
        <v>-33.9550436162956</v>
      </c>
      <c r="F43" s="14" t="n">
        <v>18.4401488199577</v>
      </c>
      <c r="G43" s="7" t="n">
        <v>972</v>
      </c>
      <c r="H43" s="5" t="s">
        <v>33</v>
      </c>
      <c r="I43" s="5" t="s">
        <v>101</v>
      </c>
      <c r="J43" s="5" t="s">
        <v>102</v>
      </c>
      <c r="K43" s="5" t="s">
        <v>103</v>
      </c>
      <c r="L43" s="5" t="s">
        <v>104</v>
      </c>
      <c r="M43" s="6" t="s">
        <v>73</v>
      </c>
      <c r="N43" s="6" t="s">
        <v>37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4.25" hidden="false" customHeight="true" outlineLevel="0" collapsed="false">
      <c r="A44" s="5" t="s">
        <v>99</v>
      </c>
      <c r="B44" s="6" t="s">
        <v>16</v>
      </c>
      <c r="C44" s="7" t="s">
        <v>70</v>
      </c>
      <c r="D44" s="7" t="s">
        <v>108</v>
      </c>
      <c r="E44" s="14" t="n">
        <v>-33.956250264001</v>
      </c>
      <c r="F44" s="14" t="n">
        <v>18.4340215765285</v>
      </c>
      <c r="G44" s="7" t="n">
        <v>716</v>
      </c>
      <c r="H44" s="5" t="s">
        <v>33</v>
      </c>
      <c r="I44" s="5" t="s">
        <v>101</v>
      </c>
      <c r="J44" s="5" t="s">
        <v>102</v>
      </c>
      <c r="K44" s="5" t="s">
        <v>103</v>
      </c>
      <c r="L44" s="5" t="s">
        <v>104</v>
      </c>
      <c r="M44" s="6" t="s">
        <v>73</v>
      </c>
      <c r="N44" s="6" t="s">
        <v>37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4.25" hidden="false" customHeight="true" outlineLevel="0" collapsed="false">
      <c r="A45" s="5" t="s">
        <v>99</v>
      </c>
      <c r="B45" s="6" t="s">
        <v>16</v>
      </c>
      <c r="C45" s="7" t="s">
        <v>70</v>
      </c>
      <c r="D45" s="7" t="s">
        <v>109</v>
      </c>
      <c r="E45" s="14" t="n">
        <v>-33.9859401732963</v>
      </c>
      <c r="F45" s="14" t="n">
        <v>18.430650658135</v>
      </c>
      <c r="G45" s="7" t="n">
        <v>160</v>
      </c>
      <c r="H45" s="5" t="s">
        <v>33</v>
      </c>
      <c r="I45" s="5" t="s">
        <v>101</v>
      </c>
      <c r="J45" s="5" t="s">
        <v>102</v>
      </c>
      <c r="K45" s="5" t="s">
        <v>103</v>
      </c>
      <c r="L45" s="5" t="s">
        <v>104</v>
      </c>
      <c r="M45" s="6" t="s">
        <v>73</v>
      </c>
      <c r="N45" s="6" t="s">
        <v>37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4.25" hidden="false" customHeight="true" outlineLevel="0" collapsed="false">
      <c r="A46" s="5" t="s">
        <v>99</v>
      </c>
      <c r="B46" s="6" t="s">
        <v>16</v>
      </c>
      <c r="C46" s="7" t="s">
        <v>70</v>
      </c>
      <c r="D46" s="7" t="s">
        <v>110</v>
      </c>
      <c r="E46" s="14" t="n">
        <v>-33.9891532051402</v>
      </c>
      <c r="F46" s="14" t="n">
        <v>18.4247851721281</v>
      </c>
      <c r="G46" s="7" t="n">
        <v>236</v>
      </c>
      <c r="H46" s="5" t="s">
        <v>33</v>
      </c>
      <c r="I46" s="5" t="s">
        <v>101</v>
      </c>
      <c r="J46" s="5" t="s">
        <v>102</v>
      </c>
      <c r="K46" s="5" t="s">
        <v>103</v>
      </c>
      <c r="L46" s="5" t="s">
        <v>104</v>
      </c>
      <c r="M46" s="6" t="s">
        <v>73</v>
      </c>
      <c r="N46" s="6" t="s">
        <v>37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customFormat="false" ht="14.25" hidden="false" customHeight="true" outlineLevel="0" collapsed="false">
      <c r="A47" s="5" t="s">
        <v>99</v>
      </c>
      <c r="B47" s="6" t="s">
        <v>16</v>
      </c>
      <c r="C47" s="7" t="s">
        <v>70</v>
      </c>
      <c r="D47" s="7" t="s">
        <v>111</v>
      </c>
      <c r="E47" s="14" t="n">
        <v>-33.9852421670277</v>
      </c>
      <c r="F47" s="14" t="n">
        <v>18.4192754567662</v>
      </c>
      <c r="G47" s="7" t="n">
        <v>518</v>
      </c>
      <c r="H47" s="5" t="s">
        <v>33</v>
      </c>
      <c r="I47" s="5" t="s">
        <v>101</v>
      </c>
      <c r="J47" s="5" t="s">
        <v>102</v>
      </c>
      <c r="K47" s="5" t="s">
        <v>103</v>
      </c>
      <c r="L47" s="5" t="s">
        <v>104</v>
      </c>
      <c r="M47" s="6" t="s">
        <v>73</v>
      </c>
      <c r="N47" s="6" t="s">
        <v>37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customFormat="false" ht="14.25" hidden="false" customHeight="true" outlineLevel="0" collapsed="false">
      <c r="A48" s="5" t="s">
        <v>99</v>
      </c>
      <c r="B48" s="6" t="s">
        <v>16</v>
      </c>
      <c r="C48" s="7" t="s">
        <v>70</v>
      </c>
      <c r="D48" s="7" t="s">
        <v>112</v>
      </c>
      <c r="E48" s="14" t="n">
        <v>-33.9837004462031</v>
      </c>
      <c r="F48" s="14" t="n">
        <v>18.4184130023502</v>
      </c>
      <c r="G48" s="7" t="n">
        <v>726</v>
      </c>
      <c r="H48" s="5" t="s">
        <v>33</v>
      </c>
      <c r="I48" s="5" t="s">
        <v>101</v>
      </c>
      <c r="J48" s="5" t="s">
        <v>102</v>
      </c>
      <c r="K48" s="5" t="s">
        <v>103</v>
      </c>
      <c r="L48" s="5" t="s">
        <v>104</v>
      </c>
      <c r="M48" s="6" t="s">
        <v>73</v>
      </c>
      <c r="N48" s="6" t="s">
        <v>37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customFormat="false" ht="14.25" hidden="false" customHeight="true" outlineLevel="0" collapsed="false">
      <c r="A49" s="5" t="s">
        <v>99</v>
      </c>
      <c r="B49" s="6" t="s">
        <v>16</v>
      </c>
      <c r="C49" s="7" t="s">
        <v>70</v>
      </c>
      <c r="D49" s="7" t="s">
        <v>113</v>
      </c>
      <c r="E49" s="14" t="n">
        <v>-33.9738379178488</v>
      </c>
      <c r="F49" s="14" t="n">
        <v>18.4218710821792</v>
      </c>
      <c r="G49" s="7" t="n">
        <v>871</v>
      </c>
      <c r="H49" s="5" t="s">
        <v>33</v>
      </c>
      <c r="I49" s="5" t="s">
        <v>101</v>
      </c>
      <c r="J49" s="5" t="s">
        <v>102</v>
      </c>
      <c r="K49" s="5" t="s">
        <v>103</v>
      </c>
      <c r="L49" s="5" t="s">
        <v>104</v>
      </c>
      <c r="M49" s="6" t="s">
        <v>73</v>
      </c>
      <c r="N49" s="6" t="s">
        <v>37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customFormat="false" ht="14.25" hidden="false" customHeight="true" outlineLevel="0" collapsed="false">
      <c r="A50" s="5" t="s">
        <v>99</v>
      </c>
      <c r="B50" s="6" t="s">
        <v>16</v>
      </c>
      <c r="C50" s="7" t="s">
        <v>70</v>
      </c>
      <c r="D50" s="7" t="s">
        <v>114</v>
      </c>
      <c r="E50" s="14" t="n">
        <v>-33.9791925396103</v>
      </c>
      <c r="F50" s="14" t="n">
        <v>18.4166880121416</v>
      </c>
      <c r="G50" s="7" t="n">
        <v>731</v>
      </c>
      <c r="H50" s="5" t="s">
        <v>33</v>
      </c>
      <c r="I50" s="5" t="s">
        <v>101</v>
      </c>
      <c r="J50" s="5" t="s">
        <v>102</v>
      </c>
      <c r="K50" s="5" t="s">
        <v>103</v>
      </c>
      <c r="L50" s="5" t="s">
        <v>104</v>
      </c>
      <c r="M50" s="6" t="s">
        <v>73</v>
      </c>
      <c r="N50" s="6" t="s">
        <v>37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customFormat="false" ht="14.25" hidden="false" customHeight="true" outlineLevel="0" collapsed="false">
      <c r="A51" s="5" t="s">
        <v>99</v>
      </c>
      <c r="B51" s="6" t="s">
        <v>16</v>
      </c>
      <c r="C51" s="7" t="s">
        <v>70</v>
      </c>
      <c r="D51" s="7" t="s">
        <v>115</v>
      </c>
      <c r="E51" s="14" t="n">
        <v>-33.9668514864824</v>
      </c>
      <c r="F51" s="14" t="n">
        <v>18.4115972167711</v>
      </c>
      <c r="G51" s="7" t="n">
        <v>966</v>
      </c>
      <c r="H51" s="5" t="s">
        <v>33</v>
      </c>
      <c r="I51" s="5" t="s">
        <v>101</v>
      </c>
      <c r="J51" s="5" t="s">
        <v>102</v>
      </c>
      <c r="K51" s="5" t="s">
        <v>103</v>
      </c>
      <c r="L51" s="5" t="s">
        <v>104</v>
      </c>
      <c r="M51" s="6" t="s">
        <v>73</v>
      </c>
      <c r="N51" s="6" t="s">
        <v>37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customFormat="false" ht="14.25" hidden="false" customHeight="true" outlineLevel="0" collapsed="false">
      <c r="A52" s="5" t="s">
        <v>99</v>
      </c>
      <c r="B52" s="6" t="s">
        <v>16</v>
      </c>
      <c r="C52" s="7" t="s">
        <v>70</v>
      </c>
      <c r="D52" s="7" t="s">
        <v>116</v>
      </c>
      <c r="E52" s="14" t="n">
        <v>-33.9677990081256</v>
      </c>
      <c r="F52" s="14" t="n">
        <v>18.4112114209447</v>
      </c>
      <c r="G52" s="7" t="n">
        <v>900</v>
      </c>
      <c r="H52" s="5" t="s">
        <v>33</v>
      </c>
      <c r="I52" s="5" t="s">
        <v>101</v>
      </c>
      <c r="J52" s="5" t="s">
        <v>102</v>
      </c>
      <c r="K52" s="5" t="s">
        <v>103</v>
      </c>
      <c r="L52" s="5" t="s">
        <v>104</v>
      </c>
      <c r="M52" s="6" t="s">
        <v>73</v>
      </c>
      <c r="N52" s="6" t="s">
        <v>37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customFormat="false" ht="14.25" hidden="false" customHeight="true" outlineLevel="0" collapsed="false">
      <c r="A53" s="5" t="s">
        <v>99</v>
      </c>
      <c r="B53" s="6" t="s">
        <v>16</v>
      </c>
      <c r="C53" s="7" t="s">
        <v>70</v>
      </c>
      <c r="D53" s="7" t="s">
        <v>117</v>
      </c>
      <c r="E53" s="14" t="n">
        <v>-33.9686311261565</v>
      </c>
      <c r="F53" s="14" t="n">
        <v>18.4104828606596</v>
      </c>
      <c r="G53" s="7" t="n">
        <v>861</v>
      </c>
      <c r="H53" s="5" t="s">
        <v>33</v>
      </c>
      <c r="I53" s="5" t="s">
        <v>101</v>
      </c>
      <c r="J53" s="5" t="s">
        <v>102</v>
      </c>
      <c r="K53" s="5" t="s">
        <v>103</v>
      </c>
      <c r="L53" s="5" t="s">
        <v>104</v>
      </c>
      <c r="M53" s="6" t="s">
        <v>73</v>
      </c>
      <c r="N53" s="6" t="s">
        <v>37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customFormat="false" ht="14.25" hidden="false" customHeight="true" outlineLevel="0" collapsed="false">
      <c r="A54" s="5" t="s">
        <v>99</v>
      </c>
      <c r="B54" s="6" t="s">
        <v>16</v>
      </c>
      <c r="C54" s="7" t="s">
        <v>70</v>
      </c>
      <c r="D54" s="7" t="s">
        <v>118</v>
      </c>
      <c r="E54" s="14" t="n">
        <v>-33.9692716563794</v>
      </c>
      <c r="F54" s="14" t="n">
        <v>18.4092190711626</v>
      </c>
      <c r="G54" s="7" t="n">
        <v>880</v>
      </c>
      <c r="H54" s="5" t="s">
        <v>33</v>
      </c>
      <c r="I54" s="5" t="s">
        <v>101</v>
      </c>
      <c r="J54" s="5" t="s">
        <v>102</v>
      </c>
      <c r="K54" s="5" t="s">
        <v>103</v>
      </c>
      <c r="L54" s="5" t="s">
        <v>104</v>
      </c>
      <c r="M54" s="6" t="s">
        <v>73</v>
      </c>
      <c r="N54" s="6" t="s">
        <v>37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customFormat="false" ht="14.25" hidden="false" customHeight="true" outlineLevel="0" collapsed="false">
      <c r="A55" s="5" t="s">
        <v>99</v>
      </c>
      <c r="B55" s="6" t="s">
        <v>16</v>
      </c>
      <c r="C55" s="7" t="s">
        <v>70</v>
      </c>
      <c r="D55" s="7" t="s">
        <v>119</v>
      </c>
      <c r="E55" s="14" t="n">
        <v>-33.9700520846779</v>
      </c>
      <c r="F55" s="14" t="n">
        <v>18.4090330792149</v>
      </c>
      <c r="G55" s="7" t="n">
        <v>903</v>
      </c>
      <c r="H55" s="5" t="s">
        <v>33</v>
      </c>
      <c r="I55" s="5" t="s">
        <v>101</v>
      </c>
      <c r="J55" s="5" t="s">
        <v>102</v>
      </c>
      <c r="K55" s="5" t="s">
        <v>103</v>
      </c>
      <c r="L55" s="5" t="s">
        <v>104</v>
      </c>
      <c r="M55" s="6" t="s">
        <v>73</v>
      </c>
      <c r="N55" s="6" t="s">
        <v>37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customFormat="false" ht="14.25" hidden="false" customHeight="true" outlineLevel="0" collapsed="false">
      <c r="A56" s="5" t="s">
        <v>99</v>
      </c>
      <c r="B56" s="6" t="s">
        <v>16</v>
      </c>
      <c r="C56" s="7" t="s">
        <v>70</v>
      </c>
      <c r="D56" s="7" t="s">
        <v>120</v>
      </c>
      <c r="E56" s="14" t="n">
        <v>-34.1166556037755</v>
      </c>
      <c r="F56" s="14" t="n">
        <v>18.4431993331123</v>
      </c>
      <c r="G56" s="7" t="n">
        <v>374</v>
      </c>
      <c r="H56" s="5" t="s">
        <v>33</v>
      </c>
      <c r="I56" s="5" t="s">
        <v>101</v>
      </c>
      <c r="J56" s="5" t="s">
        <v>102</v>
      </c>
      <c r="K56" s="5" t="s">
        <v>103</v>
      </c>
      <c r="L56" s="5" t="s">
        <v>104</v>
      </c>
      <c r="M56" s="6" t="s">
        <v>73</v>
      </c>
      <c r="N56" s="6" t="s">
        <v>37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customFormat="false" ht="14.25" hidden="false" customHeight="true" outlineLevel="0" collapsed="false">
      <c r="A57" s="5" t="s">
        <v>99</v>
      </c>
      <c r="B57" s="6" t="s">
        <v>16</v>
      </c>
      <c r="C57" s="7" t="s">
        <v>70</v>
      </c>
      <c r="D57" s="7" t="s">
        <v>121</v>
      </c>
      <c r="E57" s="14" t="n">
        <v>-34.1160823798854</v>
      </c>
      <c r="F57" s="14" t="n">
        <v>18.4438127594891</v>
      </c>
      <c r="G57" s="7" t="n">
        <v>371</v>
      </c>
      <c r="H57" s="5" t="s">
        <v>33</v>
      </c>
      <c r="I57" s="5" t="s">
        <v>101</v>
      </c>
      <c r="J57" s="5" t="s">
        <v>102</v>
      </c>
      <c r="K57" s="5" t="s">
        <v>103</v>
      </c>
      <c r="L57" s="5" t="s">
        <v>104</v>
      </c>
      <c r="M57" s="6" t="s">
        <v>73</v>
      </c>
      <c r="N57" s="6" t="s">
        <v>37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customFormat="false" ht="14.25" hidden="false" customHeight="true" outlineLevel="0" collapsed="false">
      <c r="A58" s="5" t="s">
        <v>99</v>
      </c>
      <c r="B58" s="6" t="s">
        <v>16</v>
      </c>
      <c r="C58" s="7" t="s">
        <v>70</v>
      </c>
      <c r="D58" s="7" t="s">
        <v>122</v>
      </c>
      <c r="E58" s="14" t="n">
        <v>-34.1135581122481</v>
      </c>
      <c r="F58" s="14" t="n">
        <v>18.439921661538</v>
      </c>
      <c r="G58" s="7" t="n">
        <v>493</v>
      </c>
      <c r="H58" s="5" t="s">
        <v>33</v>
      </c>
      <c r="I58" s="5" t="s">
        <v>101</v>
      </c>
      <c r="J58" s="5" t="s">
        <v>102</v>
      </c>
      <c r="K58" s="5" t="s">
        <v>103</v>
      </c>
      <c r="L58" s="5" t="s">
        <v>104</v>
      </c>
      <c r="M58" s="6" t="s">
        <v>73</v>
      </c>
      <c r="N58" s="6" t="s">
        <v>37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customFormat="false" ht="14.25" hidden="false" customHeight="true" outlineLevel="0" collapsed="false">
      <c r="A59" s="5" t="s">
        <v>99</v>
      </c>
      <c r="B59" s="6" t="s">
        <v>16</v>
      </c>
      <c r="C59" s="7" t="s">
        <v>70</v>
      </c>
      <c r="D59" s="7" t="s">
        <v>123</v>
      </c>
      <c r="E59" s="14" t="n">
        <v>-34.1067426102385</v>
      </c>
      <c r="F59" s="14" t="n">
        <v>18.4607630188234</v>
      </c>
      <c r="G59" s="7" t="n">
        <v>232</v>
      </c>
      <c r="H59" s="5" t="s">
        <v>33</v>
      </c>
      <c r="I59" s="5" t="s">
        <v>101</v>
      </c>
      <c r="J59" s="5" t="s">
        <v>102</v>
      </c>
      <c r="K59" s="5" t="s">
        <v>103</v>
      </c>
      <c r="L59" s="5" t="s">
        <v>104</v>
      </c>
      <c r="M59" s="6" t="s">
        <v>73</v>
      </c>
      <c r="N59" s="6" t="s">
        <v>37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customFormat="false" ht="14.25" hidden="false" customHeight="true" outlineLevel="0" collapsed="false">
      <c r="A60" s="5" t="s">
        <v>99</v>
      </c>
      <c r="B60" s="6" t="s">
        <v>16</v>
      </c>
      <c r="C60" s="7" t="s">
        <v>70</v>
      </c>
      <c r="D60" s="7" t="s">
        <v>124</v>
      </c>
      <c r="E60" s="14" t="n">
        <v>-34.1039372248681</v>
      </c>
      <c r="F60" s="14" t="n">
        <v>18.455026951087</v>
      </c>
      <c r="G60" s="7" t="n">
        <v>380</v>
      </c>
      <c r="H60" s="5" t="s">
        <v>33</v>
      </c>
      <c r="I60" s="5" t="s">
        <v>101</v>
      </c>
      <c r="J60" s="5" t="s">
        <v>102</v>
      </c>
      <c r="K60" s="5" t="s">
        <v>103</v>
      </c>
      <c r="L60" s="5" t="s">
        <v>104</v>
      </c>
      <c r="M60" s="6" t="s">
        <v>73</v>
      </c>
      <c r="N60" s="6" t="s">
        <v>37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customFormat="false" ht="14.25" hidden="false" customHeight="true" outlineLevel="0" collapsed="false">
      <c r="A61" s="5" t="s">
        <v>99</v>
      </c>
      <c r="B61" s="6" t="s">
        <v>16</v>
      </c>
      <c r="C61" s="7" t="s">
        <v>70</v>
      </c>
      <c r="D61" s="7" t="s">
        <v>125</v>
      </c>
      <c r="E61" s="14" t="n">
        <v>-34.1024153610598</v>
      </c>
      <c r="F61" s="14" t="n">
        <v>18.4590282888241</v>
      </c>
      <c r="G61" s="7" t="n">
        <v>439</v>
      </c>
      <c r="H61" s="5" t="s">
        <v>33</v>
      </c>
      <c r="I61" s="5" t="s">
        <v>101</v>
      </c>
      <c r="J61" s="5" t="s">
        <v>102</v>
      </c>
      <c r="K61" s="5" t="s">
        <v>103</v>
      </c>
      <c r="L61" s="5" t="s">
        <v>104</v>
      </c>
      <c r="M61" s="6" t="s">
        <v>73</v>
      </c>
      <c r="N61" s="6" t="s">
        <v>37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customFormat="false" ht="14.25" hidden="false" customHeight="true" outlineLevel="0" collapsed="false">
      <c r="A62" s="5" t="s">
        <v>99</v>
      </c>
      <c r="B62" s="6" t="s">
        <v>16</v>
      </c>
      <c r="C62" s="7" t="s">
        <v>70</v>
      </c>
      <c r="D62" s="7" t="s">
        <v>126</v>
      </c>
      <c r="E62" s="14" t="n">
        <v>-34.1022012859549</v>
      </c>
      <c r="F62" s="14" t="n">
        <v>18.4487064388253</v>
      </c>
      <c r="G62" s="7" t="n">
        <v>400</v>
      </c>
      <c r="H62" s="5" t="s">
        <v>33</v>
      </c>
      <c r="I62" s="5" t="s">
        <v>101</v>
      </c>
      <c r="J62" s="5" t="s">
        <v>102</v>
      </c>
      <c r="K62" s="5" t="s">
        <v>103</v>
      </c>
      <c r="L62" s="5" t="s">
        <v>104</v>
      </c>
      <c r="M62" s="6" t="s">
        <v>73</v>
      </c>
      <c r="N62" s="6" t="s">
        <v>37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customFormat="false" ht="14.25" hidden="false" customHeight="true" outlineLevel="0" collapsed="false">
      <c r="A63" s="5" t="s">
        <v>99</v>
      </c>
      <c r="B63" s="6" t="s">
        <v>16</v>
      </c>
      <c r="C63" s="7" t="s">
        <v>70</v>
      </c>
      <c r="D63" s="7" t="s">
        <v>127</v>
      </c>
      <c r="E63" s="14" t="n">
        <v>-34.0823867469428</v>
      </c>
      <c r="F63" s="14" t="n">
        <v>18.3980733646185</v>
      </c>
      <c r="G63" s="7" t="n">
        <v>484</v>
      </c>
      <c r="H63" s="5" t="s">
        <v>33</v>
      </c>
      <c r="I63" s="5" t="s">
        <v>101</v>
      </c>
      <c r="J63" s="5" t="s">
        <v>102</v>
      </c>
      <c r="K63" s="5" t="s">
        <v>103</v>
      </c>
      <c r="L63" s="5" t="s">
        <v>104</v>
      </c>
      <c r="M63" s="6" t="s">
        <v>73</v>
      </c>
      <c r="N63" s="6" t="s">
        <v>37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customFormat="false" ht="14.25" hidden="false" customHeight="true" outlineLevel="0" collapsed="false">
      <c r="A64" s="5" t="s">
        <v>99</v>
      </c>
      <c r="B64" s="6" t="s">
        <v>16</v>
      </c>
      <c r="C64" s="7" t="s">
        <v>70</v>
      </c>
      <c r="D64" s="7" t="s">
        <v>128</v>
      </c>
      <c r="E64" s="14" t="n">
        <v>-34.0723014306689</v>
      </c>
      <c r="F64" s="14" t="n">
        <v>18.3837782623424</v>
      </c>
      <c r="G64" s="7" t="n">
        <v>722</v>
      </c>
      <c r="H64" s="5" t="s">
        <v>33</v>
      </c>
      <c r="I64" s="5" t="s">
        <v>101</v>
      </c>
      <c r="J64" s="5" t="s">
        <v>102</v>
      </c>
      <c r="K64" s="5" t="s">
        <v>103</v>
      </c>
      <c r="L64" s="5" t="s">
        <v>104</v>
      </c>
      <c r="M64" s="6" t="s">
        <v>73</v>
      </c>
      <c r="N64" s="6" t="s">
        <v>37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customFormat="false" ht="14.25" hidden="false" customHeight="true" outlineLevel="0" collapsed="false">
      <c r="A65" s="5" t="s">
        <v>99</v>
      </c>
      <c r="B65" s="6" t="s">
        <v>16</v>
      </c>
      <c r="C65" s="7" t="s">
        <v>70</v>
      </c>
      <c r="D65" s="7" t="s">
        <v>129</v>
      </c>
      <c r="E65" s="14" t="n">
        <v>-34.0700734083464</v>
      </c>
      <c r="F65" s="14" t="n">
        <v>18.3811818089605</v>
      </c>
      <c r="G65" s="7" t="n">
        <v>706</v>
      </c>
      <c r="H65" s="5" t="s">
        <v>33</v>
      </c>
      <c r="I65" s="5" t="s">
        <v>101</v>
      </c>
      <c r="J65" s="5" t="s">
        <v>102</v>
      </c>
      <c r="K65" s="5" t="s">
        <v>103</v>
      </c>
      <c r="L65" s="5" t="s">
        <v>104</v>
      </c>
      <c r="M65" s="6" t="s">
        <v>73</v>
      </c>
      <c r="N65" s="6" t="s">
        <v>37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customFormat="false" ht="14.25" hidden="false" customHeight="true" outlineLevel="0" collapsed="false">
      <c r="A66" s="5" t="s">
        <v>99</v>
      </c>
      <c r="B66" s="6" t="s">
        <v>16</v>
      </c>
      <c r="C66" s="7" t="s">
        <v>70</v>
      </c>
      <c r="D66" s="7" t="s">
        <v>130</v>
      </c>
      <c r="E66" s="14" t="n">
        <v>-34.0685649948152</v>
      </c>
      <c r="F66" s="14" t="n">
        <v>18.3857023223869</v>
      </c>
      <c r="G66" s="7" t="n">
        <v>656</v>
      </c>
      <c r="H66" s="5" t="s">
        <v>33</v>
      </c>
      <c r="I66" s="5" t="s">
        <v>101</v>
      </c>
      <c r="J66" s="5" t="s">
        <v>102</v>
      </c>
      <c r="K66" s="5" t="s">
        <v>103</v>
      </c>
      <c r="L66" s="5" t="s">
        <v>104</v>
      </c>
      <c r="M66" s="6" t="s">
        <v>73</v>
      </c>
      <c r="N66" s="6" t="s">
        <v>37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customFormat="false" ht="14.25" hidden="false" customHeight="true" outlineLevel="0" collapsed="false">
      <c r="A67" s="5" t="s">
        <v>99</v>
      </c>
      <c r="B67" s="6" t="s">
        <v>16</v>
      </c>
      <c r="C67" s="7" t="s">
        <v>70</v>
      </c>
      <c r="D67" s="7" t="s">
        <v>131</v>
      </c>
      <c r="E67" s="14" t="n">
        <v>-34.0659985098189</v>
      </c>
      <c r="F67" s="14" t="n">
        <v>18.3849904068563</v>
      </c>
      <c r="G67" s="7" t="n">
        <v>650</v>
      </c>
      <c r="H67" s="5" t="s">
        <v>33</v>
      </c>
      <c r="I67" s="5" t="s">
        <v>101</v>
      </c>
      <c r="J67" s="5" t="s">
        <v>102</v>
      </c>
      <c r="K67" s="5" t="s">
        <v>103</v>
      </c>
      <c r="L67" s="5" t="s">
        <v>104</v>
      </c>
      <c r="M67" s="6" t="s">
        <v>73</v>
      </c>
      <c r="N67" s="6" t="s">
        <v>37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customFormat="false" ht="14.25" hidden="false" customHeight="true" outlineLevel="0" collapsed="false">
      <c r="A68" s="5" t="s">
        <v>99</v>
      </c>
      <c r="B68" s="6" t="s">
        <v>16</v>
      </c>
      <c r="C68" s="7" t="s">
        <v>70</v>
      </c>
      <c r="D68" s="7" t="s">
        <v>132</v>
      </c>
      <c r="E68" s="14" t="n">
        <v>-34.0659453221425</v>
      </c>
      <c r="F68" s="14" t="n">
        <v>18.3918166943469</v>
      </c>
      <c r="G68" s="7" t="n">
        <v>576</v>
      </c>
      <c r="H68" s="5" t="s">
        <v>33</v>
      </c>
      <c r="I68" s="5" t="s">
        <v>101</v>
      </c>
      <c r="J68" s="5" t="s">
        <v>102</v>
      </c>
      <c r="K68" s="5" t="s">
        <v>103</v>
      </c>
      <c r="L68" s="5" t="s">
        <v>104</v>
      </c>
      <c r="M68" s="6" t="s">
        <v>73</v>
      </c>
      <c r="N68" s="6" t="s">
        <v>37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customFormat="false" ht="14.25" hidden="false" customHeight="true" outlineLevel="0" collapsed="false">
      <c r="A69" s="5" t="s">
        <v>99</v>
      </c>
      <c r="B69" s="6" t="s">
        <v>16</v>
      </c>
      <c r="C69" s="7" t="s">
        <v>70</v>
      </c>
      <c r="D69" s="7" t="s">
        <v>133</v>
      </c>
      <c r="E69" s="14" t="n">
        <v>-34.0603744111804</v>
      </c>
      <c r="F69" s="14" t="n">
        <v>18.3833651514247</v>
      </c>
      <c r="G69" s="7" t="n">
        <v>614</v>
      </c>
      <c r="H69" s="5" t="s">
        <v>33</v>
      </c>
      <c r="I69" s="5" t="s">
        <v>101</v>
      </c>
      <c r="J69" s="5" t="s">
        <v>102</v>
      </c>
      <c r="K69" s="5" t="s">
        <v>103</v>
      </c>
      <c r="L69" s="5" t="s">
        <v>104</v>
      </c>
      <c r="M69" s="6" t="s">
        <v>73</v>
      </c>
      <c r="N69" s="6" t="s">
        <v>37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customFormat="false" ht="14.25" hidden="false" customHeight="true" outlineLevel="0" collapsed="false">
      <c r="A70" s="5" t="s">
        <v>99</v>
      </c>
      <c r="B70" s="6" t="s">
        <v>16</v>
      </c>
      <c r="C70" s="7" t="s">
        <v>70</v>
      </c>
      <c r="D70" s="7" t="s">
        <v>134</v>
      </c>
      <c r="E70" s="14" t="n">
        <v>-34.0589863016355</v>
      </c>
      <c r="F70" s="14" t="n">
        <v>18.3825304573058</v>
      </c>
      <c r="G70" s="7" t="n">
        <v>659</v>
      </c>
      <c r="H70" s="5" t="s">
        <v>33</v>
      </c>
      <c r="I70" s="5" t="s">
        <v>101</v>
      </c>
      <c r="J70" s="5" t="s">
        <v>102</v>
      </c>
      <c r="K70" s="5" t="s">
        <v>103</v>
      </c>
      <c r="L70" s="5" t="s">
        <v>104</v>
      </c>
      <c r="M70" s="6" t="s">
        <v>73</v>
      </c>
      <c r="N70" s="6" t="s">
        <v>37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customFormat="false" ht="14.25" hidden="false" customHeight="true" outlineLevel="0" collapsed="false">
      <c r="A71" s="5" t="s">
        <v>99</v>
      </c>
      <c r="B71" s="6" t="s">
        <v>16</v>
      </c>
      <c r="C71" s="7" t="s">
        <v>70</v>
      </c>
      <c r="D71" s="7" t="s">
        <v>135</v>
      </c>
      <c r="E71" s="14" t="n">
        <v>-34.1004827520535</v>
      </c>
      <c r="F71" s="14" t="n">
        <v>18.4307138480326</v>
      </c>
      <c r="G71" s="7" t="n">
        <v>266</v>
      </c>
      <c r="H71" s="5" t="s">
        <v>33</v>
      </c>
      <c r="I71" s="5" t="s">
        <v>101</v>
      </c>
      <c r="J71" s="5" t="s">
        <v>102</v>
      </c>
      <c r="K71" s="5" t="s">
        <v>103</v>
      </c>
      <c r="L71" s="5" t="s">
        <v>104</v>
      </c>
      <c r="M71" s="6" t="s">
        <v>73</v>
      </c>
      <c r="N71" s="6" t="s">
        <v>37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customFormat="false" ht="14.25" hidden="false" customHeight="true" outlineLevel="0" collapsed="false">
      <c r="A72" s="5" t="s">
        <v>99</v>
      </c>
      <c r="B72" s="6" t="s">
        <v>16</v>
      </c>
      <c r="C72" s="7" t="s">
        <v>70</v>
      </c>
      <c r="D72" s="7" t="s">
        <v>136</v>
      </c>
      <c r="E72" s="14" t="n">
        <v>-34.1021000174801</v>
      </c>
      <c r="F72" s="14" t="n">
        <v>18.4308816874141</v>
      </c>
      <c r="G72" s="7" t="n">
        <v>306</v>
      </c>
      <c r="H72" s="5" t="s">
        <v>33</v>
      </c>
      <c r="I72" s="5" t="s">
        <v>101</v>
      </c>
      <c r="J72" s="5" t="s">
        <v>102</v>
      </c>
      <c r="K72" s="5" t="s">
        <v>103</v>
      </c>
      <c r="L72" s="5" t="s">
        <v>104</v>
      </c>
      <c r="M72" s="6" t="s">
        <v>73</v>
      </c>
      <c r="N72" s="6" t="s">
        <v>37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customFormat="false" ht="14.25" hidden="false" customHeight="true" outlineLevel="0" collapsed="false">
      <c r="A73" s="5" t="s">
        <v>99</v>
      </c>
      <c r="B73" s="6" t="s">
        <v>16</v>
      </c>
      <c r="C73" s="7" t="s">
        <v>70</v>
      </c>
      <c r="D73" s="7" t="s">
        <v>137</v>
      </c>
      <c r="E73" s="14" t="n">
        <v>-34.1027857699031</v>
      </c>
      <c r="F73" s="14" t="n">
        <v>18.4317713091</v>
      </c>
      <c r="G73" s="7" t="n">
        <v>358</v>
      </c>
      <c r="H73" s="5" t="s">
        <v>33</v>
      </c>
      <c r="I73" s="5" t="s">
        <v>101</v>
      </c>
      <c r="J73" s="5" t="s">
        <v>102</v>
      </c>
      <c r="K73" s="5" t="s">
        <v>103</v>
      </c>
      <c r="L73" s="5" t="s">
        <v>104</v>
      </c>
      <c r="M73" s="6" t="s">
        <v>73</v>
      </c>
      <c r="N73" s="6" t="s">
        <v>37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customFormat="false" ht="14.25" hidden="false" customHeight="true" outlineLevel="0" collapsed="false">
      <c r="A74" s="5" t="s">
        <v>99</v>
      </c>
      <c r="B74" s="6" t="s">
        <v>16</v>
      </c>
      <c r="C74" s="7" t="s">
        <v>70</v>
      </c>
      <c r="D74" s="7" t="s">
        <v>138</v>
      </c>
      <c r="E74" s="14" t="n">
        <v>-34.1039111308367</v>
      </c>
      <c r="F74" s="14" t="n">
        <v>18.4304042405895</v>
      </c>
      <c r="G74" s="7" t="n">
        <v>308</v>
      </c>
      <c r="H74" s="5" t="s">
        <v>33</v>
      </c>
      <c r="I74" s="5" t="s">
        <v>101</v>
      </c>
      <c r="J74" s="5" t="s">
        <v>102</v>
      </c>
      <c r="K74" s="5" t="s">
        <v>103</v>
      </c>
      <c r="L74" s="5" t="s">
        <v>104</v>
      </c>
      <c r="M74" s="6" t="s">
        <v>73</v>
      </c>
      <c r="N74" s="6" t="s">
        <v>37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customFormat="false" ht="14.25" hidden="false" customHeight="true" outlineLevel="0" collapsed="false">
      <c r="A75" s="5" t="s">
        <v>99</v>
      </c>
      <c r="B75" s="6" t="s">
        <v>16</v>
      </c>
      <c r="C75" s="7" t="s">
        <v>70</v>
      </c>
      <c r="D75" s="7" t="s">
        <v>139</v>
      </c>
      <c r="E75" s="14" t="n">
        <v>-34.1063714505118</v>
      </c>
      <c r="F75" s="14" t="n">
        <v>18.4303623266709</v>
      </c>
      <c r="G75" s="7" t="n">
        <v>277</v>
      </c>
      <c r="H75" s="5" t="s">
        <v>33</v>
      </c>
      <c r="I75" s="5" t="s">
        <v>101</v>
      </c>
      <c r="J75" s="5" t="s">
        <v>102</v>
      </c>
      <c r="K75" s="5" t="s">
        <v>103</v>
      </c>
      <c r="L75" s="5" t="s">
        <v>104</v>
      </c>
      <c r="M75" s="6" t="s">
        <v>73</v>
      </c>
      <c r="N75" s="6" t="s">
        <v>37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customFormat="false" ht="14.25" hidden="false" customHeight="true" outlineLevel="0" collapsed="false">
      <c r="A76" s="5" t="s">
        <v>99</v>
      </c>
      <c r="B76" s="6" t="s">
        <v>16</v>
      </c>
      <c r="C76" s="7" t="s">
        <v>70</v>
      </c>
      <c r="D76" s="7" t="s">
        <v>140</v>
      </c>
      <c r="E76" s="14" t="n">
        <v>-34.1036271531702</v>
      </c>
      <c r="F76" s="14" t="n">
        <v>18.4100271225045</v>
      </c>
      <c r="G76" s="7" t="n">
        <v>101</v>
      </c>
      <c r="H76" s="5" t="s">
        <v>33</v>
      </c>
      <c r="I76" s="5" t="s">
        <v>101</v>
      </c>
      <c r="J76" s="5" t="s">
        <v>102</v>
      </c>
      <c r="K76" s="5" t="s">
        <v>103</v>
      </c>
      <c r="L76" s="5" t="s">
        <v>104</v>
      </c>
      <c r="M76" s="6" t="s">
        <v>73</v>
      </c>
      <c r="N76" s="6" t="s">
        <v>37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customFormat="false" ht="14.25" hidden="false" customHeight="true" outlineLevel="0" collapsed="false">
      <c r="A77" s="5" t="s">
        <v>99</v>
      </c>
      <c r="B77" s="6" t="s">
        <v>16</v>
      </c>
      <c r="C77" s="7" t="s">
        <v>70</v>
      </c>
      <c r="D77" s="7" t="s">
        <v>141</v>
      </c>
      <c r="E77" s="14" t="n">
        <v>-34.1047594399169</v>
      </c>
      <c r="F77" s="14" t="n">
        <v>18.4115640814322</v>
      </c>
      <c r="G77" s="7" t="n">
        <v>88</v>
      </c>
      <c r="H77" s="5" t="s">
        <v>33</v>
      </c>
      <c r="I77" s="5" t="s">
        <v>101</v>
      </c>
      <c r="J77" s="5" t="s">
        <v>102</v>
      </c>
      <c r="K77" s="5" t="s">
        <v>103</v>
      </c>
      <c r="L77" s="5" t="s">
        <v>104</v>
      </c>
      <c r="M77" s="6" t="s">
        <v>73</v>
      </c>
      <c r="N77" s="6" t="s">
        <v>37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customFormat="false" ht="14.25" hidden="false" customHeight="true" outlineLevel="0" collapsed="false">
      <c r="A78" s="5" t="s">
        <v>99</v>
      </c>
      <c r="B78" s="6" t="s">
        <v>16</v>
      </c>
      <c r="C78" s="7" t="s">
        <v>70</v>
      </c>
      <c r="D78" s="7" t="s">
        <v>142</v>
      </c>
      <c r="E78" s="14" t="n">
        <v>-34.1061746568708</v>
      </c>
      <c r="F78" s="14" t="n">
        <v>18.4132658721809</v>
      </c>
      <c r="G78" s="7" t="n">
        <v>107</v>
      </c>
      <c r="H78" s="5" t="s">
        <v>33</v>
      </c>
      <c r="I78" s="5" t="s">
        <v>101</v>
      </c>
      <c r="J78" s="5" t="s">
        <v>102</v>
      </c>
      <c r="K78" s="5" t="s">
        <v>103</v>
      </c>
      <c r="L78" s="5" t="s">
        <v>104</v>
      </c>
      <c r="M78" s="6" t="s">
        <v>73</v>
      </c>
      <c r="N78" s="6" t="s">
        <v>37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customFormat="false" ht="14.25" hidden="false" customHeight="true" outlineLevel="0" collapsed="false">
      <c r="A79" s="5" t="s">
        <v>99</v>
      </c>
      <c r="B79" s="6" t="s">
        <v>16</v>
      </c>
      <c r="C79" s="7" t="s">
        <v>70</v>
      </c>
      <c r="D79" s="7" t="s">
        <v>143</v>
      </c>
      <c r="E79" s="14" t="n">
        <v>-33.977800572679</v>
      </c>
      <c r="F79" s="14" t="n">
        <v>18.3832589517883</v>
      </c>
      <c r="G79" s="7" t="n">
        <v>448</v>
      </c>
      <c r="H79" s="5" t="s">
        <v>33</v>
      </c>
      <c r="I79" s="5" t="s">
        <v>101</v>
      </c>
      <c r="J79" s="5" t="s">
        <v>102</v>
      </c>
      <c r="K79" s="5" t="s">
        <v>103</v>
      </c>
      <c r="L79" s="5" t="s">
        <v>104</v>
      </c>
      <c r="M79" s="6" t="s">
        <v>73</v>
      </c>
      <c r="N79" s="6" t="s">
        <v>37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customFormat="false" ht="14.25" hidden="false" customHeight="true" outlineLevel="0" collapsed="false">
      <c r="A80" s="5" t="s">
        <v>99</v>
      </c>
      <c r="B80" s="6" t="s">
        <v>16</v>
      </c>
      <c r="C80" s="7" t="s">
        <v>70</v>
      </c>
      <c r="D80" s="7" t="s">
        <v>144</v>
      </c>
      <c r="E80" s="14" t="n">
        <v>-33.9805621096033</v>
      </c>
      <c r="F80" s="14" t="n">
        <v>18.3795814139612</v>
      </c>
      <c r="G80" s="7" t="n">
        <v>507</v>
      </c>
      <c r="H80" s="5" t="s">
        <v>33</v>
      </c>
      <c r="I80" s="5" t="s">
        <v>101</v>
      </c>
      <c r="J80" s="5" t="s">
        <v>102</v>
      </c>
      <c r="K80" s="5" t="s">
        <v>103</v>
      </c>
      <c r="L80" s="5" t="s">
        <v>104</v>
      </c>
      <c r="M80" s="6" t="s">
        <v>73</v>
      </c>
      <c r="N80" s="6" t="s">
        <v>37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customFormat="false" ht="14.25" hidden="false" customHeight="true" outlineLevel="0" collapsed="false">
      <c r="A81" s="5" t="s">
        <v>99</v>
      </c>
      <c r="B81" s="6" t="s">
        <v>16</v>
      </c>
      <c r="C81" s="7" t="s">
        <v>70</v>
      </c>
      <c r="D81" s="7" t="s">
        <v>145</v>
      </c>
      <c r="E81" s="14" t="n">
        <v>-33.9819852549474</v>
      </c>
      <c r="F81" s="14" t="n">
        <v>18.3816371943635</v>
      </c>
      <c r="G81" s="7" t="n">
        <v>610</v>
      </c>
      <c r="H81" s="5" t="s">
        <v>33</v>
      </c>
      <c r="I81" s="5" t="s">
        <v>101</v>
      </c>
      <c r="J81" s="5" t="s">
        <v>102</v>
      </c>
      <c r="K81" s="5" t="s">
        <v>103</v>
      </c>
      <c r="L81" s="5" t="s">
        <v>104</v>
      </c>
      <c r="M81" s="6" t="s">
        <v>73</v>
      </c>
      <c r="N81" s="6" t="s">
        <v>37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customFormat="false" ht="14.25" hidden="false" customHeight="true" outlineLevel="0" collapsed="false">
      <c r="A82" s="5" t="s">
        <v>99</v>
      </c>
      <c r="B82" s="6" t="s">
        <v>16</v>
      </c>
      <c r="C82" s="7" t="s">
        <v>70</v>
      </c>
      <c r="D82" s="7" t="s">
        <v>146</v>
      </c>
      <c r="E82" s="14" t="n">
        <v>-33.9823516505944</v>
      </c>
      <c r="F82" s="14" t="n">
        <v>18.3814852646831</v>
      </c>
      <c r="G82" s="7" t="n">
        <v>607</v>
      </c>
      <c r="H82" s="5" t="s">
        <v>33</v>
      </c>
      <c r="I82" s="5" t="s">
        <v>101</v>
      </c>
      <c r="J82" s="5" t="s">
        <v>102</v>
      </c>
      <c r="K82" s="5" t="s">
        <v>103</v>
      </c>
      <c r="L82" s="5" t="s">
        <v>104</v>
      </c>
      <c r="M82" s="6" t="s">
        <v>73</v>
      </c>
      <c r="N82" s="6" t="s">
        <v>37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customFormat="false" ht="14.25" hidden="false" customHeight="true" outlineLevel="0" collapsed="false">
      <c r="A83" s="5" t="s">
        <v>99</v>
      </c>
      <c r="B83" s="6" t="s">
        <v>16</v>
      </c>
      <c r="C83" s="7" t="s">
        <v>70</v>
      </c>
      <c r="D83" s="7" t="s">
        <v>147</v>
      </c>
      <c r="E83" s="14" t="n">
        <v>-33.9798686230615</v>
      </c>
      <c r="F83" s="14" t="n">
        <v>18.3876649515047</v>
      </c>
      <c r="G83" s="7" t="n">
        <v>677</v>
      </c>
      <c r="H83" s="5" t="s">
        <v>33</v>
      </c>
      <c r="I83" s="5" t="s">
        <v>101</v>
      </c>
      <c r="J83" s="5" t="s">
        <v>102</v>
      </c>
      <c r="K83" s="5" t="s">
        <v>103</v>
      </c>
      <c r="L83" s="5" t="s">
        <v>104</v>
      </c>
      <c r="M83" s="6" t="s">
        <v>73</v>
      </c>
      <c r="N83" s="6" t="s">
        <v>37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customFormat="false" ht="14.25" hidden="false" customHeight="true" outlineLevel="0" collapsed="false">
      <c r="A84" s="5" t="s">
        <v>99</v>
      </c>
      <c r="B84" s="6" t="s">
        <v>16</v>
      </c>
      <c r="C84" s="7" t="s">
        <v>70</v>
      </c>
      <c r="D84" s="7" t="s">
        <v>148</v>
      </c>
      <c r="E84" s="14" t="n">
        <v>-33.9692658331072</v>
      </c>
      <c r="F84" s="14" t="n">
        <v>18.3974140594343</v>
      </c>
      <c r="G84" s="7" t="n">
        <v>808</v>
      </c>
      <c r="H84" s="5" t="s">
        <v>33</v>
      </c>
      <c r="I84" s="5" t="s">
        <v>101</v>
      </c>
      <c r="J84" s="5" t="s">
        <v>102</v>
      </c>
      <c r="K84" s="5" t="s">
        <v>103</v>
      </c>
      <c r="L84" s="5" t="s">
        <v>104</v>
      </c>
      <c r="M84" s="6" t="s">
        <v>73</v>
      </c>
      <c r="N84" s="6" t="s">
        <v>37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customFormat="false" ht="14.25" hidden="false" customHeight="true" outlineLevel="0" collapsed="false">
      <c r="A85" s="5" t="s">
        <v>99</v>
      </c>
      <c r="B85" s="6" t="s">
        <v>16</v>
      </c>
      <c r="C85" s="7" t="s">
        <v>70</v>
      </c>
      <c r="D85" s="7" t="s">
        <v>149</v>
      </c>
      <c r="E85" s="14" t="n">
        <v>-33.959332525451</v>
      </c>
      <c r="F85" s="14" t="n">
        <v>18.4047492983694</v>
      </c>
      <c r="G85" s="7" t="n">
        <v>1059</v>
      </c>
      <c r="H85" s="5" t="s">
        <v>33</v>
      </c>
      <c r="I85" s="5" t="s">
        <v>101</v>
      </c>
      <c r="J85" s="5" t="s">
        <v>102</v>
      </c>
      <c r="K85" s="5" t="s">
        <v>103</v>
      </c>
      <c r="L85" s="5" t="s">
        <v>104</v>
      </c>
      <c r="M85" s="6" t="s">
        <v>73</v>
      </c>
      <c r="N85" s="6" t="s">
        <v>37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customFormat="false" ht="14.25" hidden="false" customHeight="true" outlineLevel="0" collapsed="false">
      <c r="A86" s="5" t="s">
        <v>99</v>
      </c>
      <c r="B86" s="6" t="s">
        <v>16</v>
      </c>
      <c r="C86" s="7" t="s">
        <v>70</v>
      </c>
      <c r="D86" s="7" t="s">
        <v>150</v>
      </c>
      <c r="E86" s="14" t="n">
        <v>-33.9639821706459</v>
      </c>
      <c r="F86" s="14" t="n">
        <v>18.3846346080531</v>
      </c>
      <c r="G86" s="7" t="n">
        <v>190</v>
      </c>
      <c r="H86" s="5" t="s">
        <v>33</v>
      </c>
      <c r="I86" s="5" t="s">
        <v>101</v>
      </c>
      <c r="J86" s="5" t="s">
        <v>102</v>
      </c>
      <c r="K86" s="5" t="s">
        <v>103</v>
      </c>
      <c r="L86" s="5" t="s">
        <v>104</v>
      </c>
      <c r="M86" s="6" t="s">
        <v>73</v>
      </c>
      <c r="N86" s="6" t="s">
        <v>37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customFormat="false" ht="14.25" hidden="false" customHeight="true" outlineLevel="0" collapsed="false">
      <c r="A87" s="5" t="s">
        <v>99</v>
      </c>
      <c r="B87" s="6" t="s">
        <v>16</v>
      </c>
      <c r="C87" s="7" t="s">
        <v>70</v>
      </c>
      <c r="D87" s="7" t="s">
        <v>151</v>
      </c>
      <c r="E87" s="14" t="n">
        <v>-33.9650631607875</v>
      </c>
      <c r="F87" s="14" t="n">
        <v>18.3879881384313</v>
      </c>
      <c r="G87" s="7" t="n">
        <v>286</v>
      </c>
      <c r="H87" s="5" t="s">
        <v>33</v>
      </c>
      <c r="I87" s="5" t="s">
        <v>101</v>
      </c>
      <c r="J87" s="5" t="s">
        <v>102</v>
      </c>
      <c r="K87" s="5" t="s">
        <v>103</v>
      </c>
      <c r="L87" s="5" t="s">
        <v>104</v>
      </c>
      <c r="M87" s="6" t="s">
        <v>73</v>
      </c>
      <c r="N87" s="6" t="s">
        <v>37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customFormat="false" ht="14.25" hidden="false" customHeight="true" outlineLevel="0" collapsed="false">
      <c r="A88" s="5" t="s">
        <v>99</v>
      </c>
      <c r="B88" s="6" t="s">
        <v>16</v>
      </c>
      <c r="C88" s="7" t="s">
        <v>70</v>
      </c>
      <c r="D88" s="7" t="s">
        <v>152</v>
      </c>
      <c r="E88" s="14" t="n">
        <v>-33.9636375230115</v>
      </c>
      <c r="F88" s="14" t="n">
        <v>18.3943072103488</v>
      </c>
      <c r="G88" s="7" t="n">
        <v>412</v>
      </c>
      <c r="H88" s="5" t="s">
        <v>33</v>
      </c>
      <c r="I88" s="5" t="s">
        <v>101</v>
      </c>
      <c r="J88" s="5" t="s">
        <v>102</v>
      </c>
      <c r="K88" s="5" t="s">
        <v>103</v>
      </c>
      <c r="L88" s="5" t="s">
        <v>104</v>
      </c>
      <c r="M88" s="6" t="s">
        <v>73</v>
      </c>
      <c r="N88" s="6" t="s">
        <v>37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customFormat="false" ht="14.25" hidden="false" customHeight="true" outlineLevel="0" collapsed="false">
      <c r="A89" s="5" t="s">
        <v>99</v>
      </c>
      <c r="B89" s="6" t="s">
        <v>16</v>
      </c>
      <c r="C89" s="7" t="s">
        <v>70</v>
      </c>
      <c r="D89" s="7" t="s">
        <v>153</v>
      </c>
      <c r="E89" s="14" t="n">
        <v>-33.9654663756713</v>
      </c>
      <c r="F89" s="14" t="n">
        <v>18.3921198626619</v>
      </c>
      <c r="G89" s="7" t="n">
        <v>394</v>
      </c>
      <c r="H89" s="5" t="s">
        <v>33</v>
      </c>
      <c r="I89" s="5" t="s">
        <v>101</v>
      </c>
      <c r="J89" s="5" t="s">
        <v>102</v>
      </c>
      <c r="K89" s="5" t="s">
        <v>103</v>
      </c>
      <c r="L89" s="5" t="s">
        <v>104</v>
      </c>
      <c r="M89" s="6" t="s">
        <v>73</v>
      </c>
      <c r="N89" s="6" t="s">
        <v>37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customFormat="false" ht="14.25" hidden="false" customHeight="true" outlineLevel="0" collapsed="false">
      <c r="A90" s="5" t="s">
        <v>99</v>
      </c>
      <c r="B90" s="6" t="s">
        <v>16</v>
      </c>
      <c r="C90" s="7" t="s">
        <v>70</v>
      </c>
      <c r="D90" s="7" t="s">
        <v>154</v>
      </c>
      <c r="E90" s="14" t="n">
        <v>-33.9658583903002</v>
      </c>
      <c r="F90" s="14" t="n">
        <v>18.3936010575632</v>
      </c>
      <c r="G90" s="7" t="n">
        <v>523</v>
      </c>
      <c r="H90" s="5" t="s">
        <v>33</v>
      </c>
      <c r="I90" s="5" t="s">
        <v>101</v>
      </c>
      <c r="J90" s="5" t="s">
        <v>102</v>
      </c>
      <c r="K90" s="5" t="s">
        <v>103</v>
      </c>
      <c r="L90" s="5" t="s">
        <v>104</v>
      </c>
      <c r="M90" s="6" t="s">
        <v>73</v>
      </c>
      <c r="N90" s="6" t="s">
        <v>37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customFormat="false" ht="14.25" hidden="false" customHeight="true" outlineLevel="0" collapsed="false">
      <c r="A91" s="5" t="s">
        <v>99</v>
      </c>
      <c r="B91" s="6" t="s">
        <v>16</v>
      </c>
      <c r="C91" s="7" t="s">
        <v>70</v>
      </c>
      <c r="D91" s="7" t="s">
        <v>155</v>
      </c>
      <c r="E91" s="14" t="n">
        <v>-33.9663238263021</v>
      </c>
      <c r="F91" s="14" t="n">
        <v>18.3964217219909</v>
      </c>
      <c r="G91" s="7" t="n">
        <v>700</v>
      </c>
      <c r="H91" s="5" t="s">
        <v>33</v>
      </c>
      <c r="I91" s="5" t="s">
        <v>101</v>
      </c>
      <c r="J91" s="5" t="s">
        <v>102</v>
      </c>
      <c r="K91" s="5" t="s">
        <v>103</v>
      </c>
      <c r="L91" s="5" t="s">
        <v>104</v>
      </c>
      <c r="M91" s="6" t="s">
        <v>73</v>
      </c>
      <c r="N91" s="6" t="s">
        <v>37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customFormat="false" ht="14.25" hidden="false" customHeight="true" outlineLevel="0" collapsed="false">
      <c r="A92" s="5" t="s">
        <v>99</v>
      </c>
      <c r="B92" s="6" t="s">
        <v>16</v>
      </c>
      <c r="C92" s="7" t="s">
        <v>70</v>
      </c>
      <c r="D92" s="7" t="s">
        <v>156</v>
      </c>
      <c r="E92" s="14" t="n">
        <v>-33.9668488790204</v>
      </c>
      <c r="F92" s="14" t="n">
        <v>18.3999330965154</v>
      </c>
      <c r="G92" s="7" t="n">
        <v>921</v>
      </c>
      <c r="H92" s="5" t="s">
        <v>33</v>
      </c>
      <c r="I92" s="5" t="s">
        <v>101</v>
      </c>
      <c r="J92" s="5" t="s">
        <v>102</v>
      </c>
      <c r="K92" s="5" t="s">
        <v>103</v>
      </c>
      <c r="L92" s="5" t="s">
        <v>104</v>
      </c>
      <c r="M92" s="6" t="s">
        <v>73</v>
      </c>
      <c r="N92" s="6" t="s">
        <v>37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customFormat="false" ht="14.25" hidden="false" customHeight="true" outlineLevel="0" collapsed="false">
      <c r="A93" s="5" t="s">
        <v>15</v>
      </c>
      <c r="B93" s="6" t="s">
        <v>16</v>
      </c>
      <c r="C93" s="7" t="s">
        <v>157</v>
      </c>
      <c r="D93" s="6" t="s">
        <v>158</v>
      </c>
      <c r="E93" s="14" t="n">
        <v>-34.6663062</v>
      </c>
      <c r="F93" s="14" t="n">
        <v>19.834586</v>
      </c>
      <c r="G93" s="7"/>
      <c r="H93" s="5" t="s">
        <v>19</v>
      </c>
      <c r="I93" s="15" t="s">
        <v>159</v>
      </c>
      <c r="J93" s="5" t="s">
        <v>160</v>
      </c>
      <c r="K93" s="5" t="s">
        <v>161</v>
      </c>
      <c r="L93" s="6" t="s">
        <v>162</v>
      </c>
      <c r="M93" s="6" t="s">
        <v>163</v>
      </c>
      <c r="N93" s="6" t="s">
        <v>37</v>
      </c>
      <c r="O93" s="6" t="s">
        <v>87</v>
      </c>
    </row>
    <row r="94" customFormat="false" ht="14.25" hidden="false" customHeight="true" outlineLevel="0" collapsed="false">
      <c r="A94" s="5" t="s">
        <v>15</v>
      </c>
      <c r="B94" s="6" t="s">
        <v>16</v>
      </c>
      <c r="C94" s="7" t="s">
        <v>157</v>
      </c>
      <c r="D94" s="6" t="s">
        <v>164</v>
      </c>
      <c r="E94" s="14" t="n">
        <v>-34.61586</v>
      </c>
      <c r="F94" s="14" t="n">
        <v>19.89171</v>
      </c>
      <c r="G94" s="7"/>
      <c r="H94" s="5" t="s">
        <v>19</v>
      </c>
      <c r="I94" s="15" t="s">
        <v>159</v>
      </c>
      <c r="J94" s="5" t="s">
        <v>160</v>
      </c>
      <c r="K94" s="5" t="s">
        <v>161</v>
      </c>
      <c r="L94" s="6" t="s">
        <v>162</v>
      </c>
      <c r="M94" s="6" t="s">
        <v>163</v>
      </c>
      <c r="N94" s="6" t="s">
        <v>37</v>
      </c>
      <c r="O94" s="6" t="s">
        <v>87</v>
      </c>
    </row>
    <row r="95" customFormat="false" ht="14.25" hidden="false" customHeight="true" outlineLevel="0" collapsed="false">
      <c r="A95" s="5" t="s">
        <v>15</v>
      </c>
      <c r="B95" s="6" t="s">
        <v>16</v>
      </c>
      <c r="C95" s="7" t="s">
        <v>157</v>
      </c>
      <c r="D95" s="6" t="s">
        <v>165</v>
      </c>
      <c r="E95" s="14" t="n">
        <v>-34.678389</v>
      </c>
      <c r="F95" s="14" t="n">
        <v>19.882029</v>
      </c>
      <c r="G95" s="7"/>
      <c r="H95" s="5" t="s">
        <v>19</v>
      </c>
      <c r="I95" s="16" t="s">
        <v>166</v>
      </c>
      <c r="J95" s="5" t="s">
        <v>160</v>
      </c>
      <c r="K95" s="5" t="s">
        <v>167</v>
      </c>
      <c r="L95" s="6" t="s">
        <v>162</v>
      </c>
      <c r="M95" s="6" t="s">
        <v>163</v>
      </c>
      <c r="N95" s="6" t="s">
        <v>37</v>
      </c>
      <c r="O95" s="6" t="s">
        <v>87</v>
      </c>
    </row>
    <row r="96" customFormat="false" ht="14.25" hidden="false" customHeight="true" outlineLevel="0" collapsed="false">
      <c r="A96" s="5" t="s">
        <v>15</v>
      </c>
      <c r="B96" s="6" t="s">
        <v>16</v>
      </c>
      <c r="C96" s="7" t="s">
        <v>157</v>
      </c>
      <c r="D96" s="6" t="s">
        <v>168</v>
      </c>
      <c r="E96" s="14" t="n">
        <v>-34.60931</v>
      </c>
      <c r="F96" s="17" t="n">
        <v>19.91832</v>
      </c>
      <c r="G96" s="7"/>
      <c r="H96" s="5" t="s">
        <v>19</v>
      </c>
      <c r="I96" s="15" t="s">
        <v>159</v>
      </c>
      <c r="J96" s="5" t="s">
        <v>160</v>
      </c>
      <c r="K96" s="5" t="s">
        <v>161</v>
      </c>
      <c r="L96" s="6" t="s">
        <v>162</v>
      </c>
      <c r="M96" s="6" t="s">
        <v>163</v>
      </c>
      <c r="N96" s="6" t="s">
        <v>37</v>
      </c>
      <c r="O96" s="6" t="s">
        <v>87</v>
      </c>
    </row>
    <row r="97" customFormat="false" ht="14.25" hidden="false" customHeight="true" outlineLevel="0" collapsed="false">
      <c r="A97" s="5" t="s">
        <v>15</v>
      </c>
      <c r="B97" s="6" t="s">
        <v>16</v>
      </c>
      <c r="C97" s="7" t="s">
        <v>157</v>
      </c>
      <c r="D97" s="6" t="s">
        <v>169</v>
      </c>
      <c r="E97" s="14" t="n">
        <v>-34.75966</v>
      </c>
      <c r="F97" s="14" t="n">
        <v>19.92725</v>
      </c>
      <c r="G97" s="7"/>
      <c r="H97" s="5" t="s">
        <v>19</v>
      </c>
      <c r="I97" s="16" t="s">
        <v>166</v>
      </c>
      <c r="J97" s="5" t="s">
        <v>160</v>
      </c>
      <c r="K97" s="5" t="s">
        <v>167</v>
      </c>
      <c r="L97" s="6" t="s">
        <v>162</v>
      </c>
      <c r="M97" s="6" t="s">
        <v>163</v>
      </c>
      <c r="N97" s="6" t="s">
        <v>37</v>
      </c>
      <c r="O97" s="6" t="s">
        <v>87</v>
      </c>
    </row>
    <row r="98" customFormat="false" ht="15" hidden="false" customHeight="false" outlineLevel="0" collapsed="false">
      <c r="A98" s="18" t="s">
        <v>15</v>
      </c>
      <c r="B98" s="19" t="s">
        <v>16</v>
      </c>
      <c r="C98" s="19" t="s">
        <v>170</v>
      </c>
      <c r="D98" s="6" t="s">
        <v>171</v>
      </c>
      <c r="E98" s="18" t="n">
        <v>-33.49922</v>
      </c>
      <c r="F98" s="18" t="n">
        <v>23.63675</v>
      </c>
      <c r="G98" s="18" t="n">
        <v>986.8</v>
      </c>
      <c r="H98" s="20" t="s">
        <v>33</v>
      </c>
      <c r="I98" s="5" t="s">
        <v>34</v>
      </c>
      <c r="J98" s="5" t="s">
        <v>34</v>
      </c>
      <c r="K98" s="5" t="s">
        <v>35</v>
      </c>
      <c r="L98" s="18" t="s">
        <v>36</v>
      </c>
      <c r="M98" s="18" t="s">
        <v>24</v>
      </c>
      <c r="N98" s="18" t="s">
        <v>37</v>
      </c>
      <c r="O98" s="18" t="s">
        <v>87</v>
      </c>
    </row>
    <row r="99" customFormat="false" ht="14.25" hidden="false" customHeight="true" outlineLevel="0" collapsed="false">
      <c r="A99" s="18" t="s">
        <v>15</v>
      </c>
      <c r="B99" s="19" t="s">
        <v>16</v>
      </c>
      <c r="C99" s="19" t="s">
        <v>170</v>
      </c>
      <c r="D99" s="6" t="s">
        <v>172</v>
      </c>
      <c r="E99" s="18" t="n">
        <v>-33.52192</v>
      </c>
      <c r="F99" s="18" t="n">
        <v>23.71476</v>
      </c>
      <c r="G99" s="18" t="n">
        <v>785.2</v>
      </c>
      <c r="H99" s="21" t="s">
        <v>33</v>
      </c>
      <c r="I99" s="5" t="s">
        <v>34</v>
      </c>
      <c r="J99" s="5" t="s">
        <v>34</v>
      </c>
      <c r="K99" s="5" t="s">
        <v>35</v>
      </c>
      <c r="L99" s="18" t="s">
        <v>36</v>
      </c>
      <c r="M99" s="18" t="s">
        <v>24</v>
      </c>
      <c r="N99" s="18" t="s">
        <v>37</v>
      </c>
      <c r="O99" s="18" t="s">
        <v>87</v>
      </c>
    </row>
    <row r="100" customFormat="false" ht="14.25" hidden="false" customHeight="true" outlineLevel="0" collapsed="false">
      <c r="A100" s="18" t="s">
        <v>15</v>
      </c>
      <c r="B100" s="19" t="s">
        <v>16</v>
      </c>
      <c r="C100" s="19" t="s">
        <v>170</v>
      </c>
      <c r="D100" s="6" t="s">
        <v>173</v>
      </c>
      <c r="E100" s="18" t="n">
        <v>-33.56981</v>
      </c>
      <c r="F100" s="18" t="n">
        <v>23.7191</v>
      </c>
      <c r="G100" s="18" t="n">
        <v>843.4</v>
      </c>
      <c r="H100" s="20" t="s">
        <v>33</v>
      </c>
      <c r="I100" s="11" t="s">
        <v>34</v>
      </c>
      <c r="J100" s="11" t="s">
        <v>34</v>
      </c>
      <c r="K100" s="11" t="s">
        <v>35</v>
      </c>
      <c r="L100" s="18" t="s">
        <v>36</v>
      </c>
      <c r="M100" s="18" t="s">
        <v>24</v>
      </c>
      <c r="N100" s="18" t="s">
        <v>37</v>
      </c>
      <c r="O100" s="18" t="s">
        <v>87</v>
      </c>
    </row>
    <row r="101" customFormat="false" ht="14.25" hidden="false" customHeight="true" outlineLevel="0" collapsed="false">
      <c r="A101" s="18" t="s">
        <v>15</v>
      </c>
      <c r="B101" s="19" t="s">
        <v>16</v>
      </c>
      <c r="C101" s="19" t="s">
        <v>170</v>
      </c>
      <c r="D101" s="19" t="s">
        <v>174</v>
      </c>
      <c r="E101" s="18" t="n">
        <v>-33.56708</v>
      </c>
      <c r="F101" s="18" t="n">
        <v>23.89091</v>
      </c>
      <c r="G101" s="18" t="n">
        <v>983.3</v>
      </c>
      <c r="H101" s="20" t="s">
        <v>33</v>
      </c>
      <c r="I101" s="11" t="s">
        <v>34</v>
      </c>
      <c r="J101" s="11" t="s">
        <v>34</v>
      </c>
      <c r="K101" s="11" t="s">
        <v>35</v>
      </c>
      <c r="L101" s="18" t="s">
        <v>36</v>
      </c>
      <c r="M101" s="18" t="s">
        <v>24</v>
      </c>
      <c r="N101" s="18" t="s">
        <v>37</v>
      </c>
      <c r="O101" s="18" t="s">
        <v>87</v>
      </c>
    </row>
    <row r="102" customFormat="false" ht="14.25" hidden="false" customHeight="true" outlineLevel="0" collapsed="false">
      <c r="A102" s="18" t="s">
        <v>15</v>
      </c>
      <c r="B102" s="19" t="s">
        <v>16</v>
      </c>
      <c r="C102" s="19" t="s">
        <v>170</v>
      </c>
      <c r="D102" s="19" t="s">
        <v>175</v>
      </c>
      <c r="E102" s="18" t="n">
        <v>-33.52161</v>
      </c>
      <c r="F102" s="18" t="n">
        <v>23.91227</v>
      </c>
      <c r="G102" s="18" t="n">
        <v>621.9</v>
      </c>
      <c r="H102" s="20" t="s">
        <v>33</v>
      </c>
      <c r="I102" s="11" t="s">
        <v>34</v>
      </c>
      <c r="J102" s="11" t="s">
        <v>34</v>
      </c>
      <c r="K102" s="11" t="s">
        <v>35</v>
      </c>
      <c r="L102" s="18" t="s">
        <v>36</v>
      </c>
      <c r="M102" s="18" t="s">
        <v>24</v>
      </c>
      <c r="N102" s="18" t="s">
        <v>37</v>
      </c>
      <c r="O102" s="18" t="s">
        <v>87</v>
      </c>
    </row>
    <row r="103" customFormat="false" ht="14.25" hidden="false" customHeight="true" outlineLevel="0" collapsed="false">
      <c r="A103" s="18" t="s">
        <v>15</v>
      </c>
      <c r="B103" s="19" t="s">
        <v>16</v>
      </c>
      <c r="C103" s="19" t="s">
        <v>170</v>
      </c>
      <c r="D103" s="6" t="s">
        <v>176</v>
      </c>
      <c r="E103" s="18" t="n">
        <v>-33.57837</v>
      </c>
      <c r="F103" s="18" t="n">
        <v>24.13846</v>
      </c>
      <c r="G103" s="18" t="n">
        <v>389.2</v>
      </c>
      <c r="H103" s="20" t="s">
        <v>33</v>
      </c>
      <c r="I103" s="5" t="s">
        <v>34</v>
      </c>
      <c r="J103" s="5" t="s">
        <v>34</v>
      </c>
      <c r="K103" s="5" t="s">
        <v>35</v>
      </c>
      <c r="L103" s="18" t="s">
        <v>36</v>
      </c>
      <c r="M103" s="18" t="s">
        <v>24</v>
      </c>
      <c r="N103" s="18" t="s">
        <v>37</v>
      </c>
      <c r="O103" s="18" t="s">
        <v>87</v>
      </c>
    </row>
    <row r="104" customFormat="false" ht="14.25" hidden="false" customHeight="true" outlineLevel="0" collapsed="false">
      <c r="A104" s="18" t="s">
        <v>15</v>
      </c>
      <c r="B104" s="19" t="s">
        <v>16</v>
      </c>
      <c r="C104" s="19" t="s">
        <v>170</v>
      </c>
      <c r="D104" s="6" t="s">
        <v>177</v>
      </c>
      <c r="E104" s="18" t="n">
        <v>-33.59034</v>
      </c>
      <c r="F104" s="18" t="n">
        <v>24.1396</v>
      </c>
      <c r="G104" s="18" t="n">
        <v>489.6</v>
      </c>
      <c r="H104" s="21" t="s">
        <v>33</v>
      </c>
      <c r="I104" s="5" t="s">
        <v>34</v>
      </c>
      <c r="J104" s="5" t="s">
        <v>34</v>
      </c>
      <c r="K104" s="5" t="s">
        <v>35</v>
      </c>
      <c r="L104" s="18" t="s">
        <v>36</v>
      </c>
      <c r="M104" s="18" t="s">
        <v>24</v>
      </c>
      <c r="N104" s="18" t="s">
        <v>37</v>
      </c>
      <c r="O104" s="18" t="s">
        <v>87</v>
      </c>
    </row>
    <row r="105" customFormat="false" ht="14.25" hidden="false" customHeight="true" outlineLevel="0" collapsed="false">
      <c r="A105" s="18" t="s">
        <v>15</v>
      </c>
      <c r="B105" s="19" t="s">
        <v>16</v>
      </c>
      <c r="C105" s="19" t="s">
        <v>170</v>
      </c>
      <c r="D105" s="6" t="s">
        <v>178</v>
      </c>
      <c r="E105" s="18" t="n">
        <v>-33.659072</v>
      </c>
      <c r="F105" s="18" t="n">
        <v>24.217445</v>
      </c>
      <c r="G105" s="18" t="n">
        <v>945.5</v>
      </c>
      <c r="H105" s="20" t="s">
        <v>33</v>
      </c>
      <c r="I105" s="11" t="s">
        <v>34</v>
      </c>
      <c r="J105" s="11" t="s">
        <v>34</v>
      </c>
      <c r="K105" s="11" t="s">
        <v>35</v>
      </c>
      <c r="L105" s="18" t="s">
        <v>36</v>
      </c>
      <c r="M105" s="18" t="s">
        <v>24</v>
      </c>
      <c r="N105" s="18" t="s">
        <v>37</v>
      </c>
      <c r="O105" s="18" t="s">
        <v>87</v>
      </c>
    </row>
    <row r="106" customFormat="false" ht="14.25" hidden="false" customHeight="true" outlineLevel="0" collapsed="false">
      <c r="A106" s="18" t="s">
        <v>15</v>
      </c>
      <c r="B106" s="19" t="s">
        <v>16</v>
      </c>
      <c r="C106" s="19" t="s">
        <v>170</v>
      </c>
      <c r="D106" s="6" t="s">
        <v>179</v>
      </c>
      <c r="E106" s="18" t="n">
        <v>-33.4933</v>
      </c>
      <c r="F106" s="18" t="n">
        <v>23.63685</v>
      </c>
      <c r="G106" s="18" t="n">
        <v>1019.3</v>
      </c>
      <c r="H106" s="18" t="s">
        <v>19</v>
      </c>
      <c r="I106" s="19" t="s">
        <v>180</v>
      </c>
      <c r="J106" s="6" t="s">
        <v>181</v>
      </c>
      <c r="K106" s="19" t="s">
        <v>182</v>
      </c>
      <c r="L106" s="18" t="s">
        <v>183</v>
      </c>
      <c r="M106" s="18" t="s">
        <v>24</v>
      </c>
      <c r="N106" s="18" t="s">
        <v>37</v>
      </c>
      <c r="O106" s="18" t="s">
        <v>87</v>
      </c>
    </row>
    <row r="107" customFormat="false" ht="14.25" hidden="false" customHeight="true" outlineLevel="0" collapsed="false">
      <c r="A107" s="18" t="s">
        <v>15</v>
      </c>
      <c r="B107" s="19" t="s">
        <v>16</v>
      </c>
      <c r="C107" s="19" t="s">
        <v>170</v>
      </c>
      <c r="D107" s="19" t="s">
        <v>184</v>
      </c>
      <c r="E107" s="18" t="n">
        <v>-33.57895</v>
      </c>
      <c r="F107" s="18" t="n">
        <v>24.13804</v>
      </c>
      <c r="G107" s="18" t="n">
        <v>387.8</v>
      </c>
      <c r="H107" s="18" t="s">
        <v>19</v>
      </c>
      <c r="I107" s="19" t="s">
        <v>180</v>
      </c>
      <c r="J107" s="6" t="s">
        <v>181</v>
      </c>
      <c r="K107" s="19" t="s">
        <v>182</v>
      </c>
      <c r="L107" s="18" t="s">
        <v>183</v>
      </c>
      <c r="M107" s="18" t="s">
        <v>24</v>
      </c>
      <c r="N107" s="18" t="s">
        <v>37</v>
      </c>
      <c r="O107" s="18" t="s">
        <v>87</v>
      </c>
    </row>
    <row r="108" customFormat="false" ht="14.25" hidden="false" customHeight="true" outlineLevel="0" collapsed="false">
      <c r="A108" s="18" t="s">
        <v>15</v>
      </c>
      <c r="B108" s="19" t="s">
        <v>16</v>
      </c>
      <c r="C108" s="19" t="s">
        <v>170</v>
      </c>
      <c r="D108" s="19" t="s">
        <v>185</v>
      </c>
      <c r="E108" s="18" t="n">
        <v>-33.55012</v>
      </c>
      <c r="F108" s="18" t="n">
        <v>24.00706</v>
      </c>
      <c r="G108" s="18" t="n">
        <v>496.1</v>
      </c>
      <c r="H108" s="18" t="s">
        <v>19</v>
      </c>
      <c r="I108" s="19" t="s">
        <v>186</v>
      </c>
      <c r="J108" s="6" t="s">
        <v>187</v>
      </c>
      <c r="K108" s="19" t="s">
        <v>188</v>
      </c>
      <c r="L108" s="18" t="s">
        <v>183</v>
      </c>
      <c r="M108" s="18" t="s">
        <v>24</v>
      </c>
      <c r="N108" s="18" t="s">
        <v>37</v>
      </c>
      <c r="O108" s="18" t="s">
        <v>87</v>
      </c>
    </row>
    <row r="109" customFormat="false" ht="14.25" hidden="false" customHeight="true" outlineLevel="0" collapsed="false">
      <c r="A109" s="18" t="s">
        <v>15</v>
      </c>
      <c r="B109" s="19" t="s">
        <v>16</v>
      </c>
      <c r="C109" s="19" t="s">
        <v>170</v>
      </c>
      <c r="D109" s="19" t="s">
        <v>189</v>
      </c>
      <c r="E109" s="18" t="n">
        <v>-33.57744</v>
      </c>
      <c r="F109" s="18" t="n">
        <v>24.1325</v>
      </c>
      <c r="G109" s="18" t="n">
        <v>391.8</v>
      </c>
      <c r="H109" s="18" t="s">
        <v>19</v>
      </c>
      <c r="I109" s="19" t="s">
        <v>186</v>
      </c>
      <c r="J109" s="6" t="s">
        <v>187</v>
      </c>
      <c r="K109" s="19" t="s">
        <v>188</v>
      </c>
      <c r="L109" s="18" t="s">
        <v>183</v>
      </c>
      <c r="M109" s="18" t="s">
        <v>24</v>
      </c>
      <c r="N109" s="18" t="s">
        <v>37</v>
      </c>
      <c r="O109" s="18" t="s">
        <v>87</v>
      </c>
    </row>
    <row r="110" customFormat="false" ht="14.25" hidden="false" customHeight="true" outlineLevel="0" collapsed="false">
      <c r="A110" s="18" t="s">
        <v>15</v>
      </c>
      <c r="B110" s="19" t="s">
        <v>16</v>
      </c>
      <c r="C110" s="19" t="s">
        <v>170</v>
      </c>
      <c r="D110" s="19" t="s">
        <v>190</v>
      </c>
      <c r="E110" s="18" t="n">
        <v>-33.57992</v>
      </c>
      <c r="F110" s="18" t="n">
        <v>24.13746</v>
      </c>
      <c r="G110" s="18" t="n">
        <v>386.7</v>
      </c>
      <c r="H110" s="18" t="s">
        <v>19</v>
      </c>
      <c r="I110" s="19" t="s">
        <v>186</v>
      </c>
      <c r="J110" s="6" t="s">
        <v>187</v>
      </c>
      <c r="K110" s="19" t="s">
        <v>188</v>
      </c>
      <c r="L110" s="18" t="s">
        <v>183</v>
      </c>
      <c r="M110" s="18" t="s">
        <v>24</v>
      </c>
      <c r="N110" s="18" t="s">
        <v>37</v>
      </c>
      <c r="O110" s="18" t="s">
        <v>87</v>
      </c>
    </row>
    <row r="111" customFormat="false" ht="14.25" hidden="false" customHeight="true" outlineLevel="0" collapsed="false">
      <c r="A111" s="18" t="s">
        <v>15</v>
      </c>
      <c r="B111" s="19" t="s">
        <v>16</v>
      </c>
      <c r="C111" s="19" t="s">
        <v>170</v>
      </c>
      <c r="D111" s="19" t="s">
        <v>191</v>
      </c>
      <c r="E111" s="18" t="n">
        <v>-33.57543</v>
      </c>
      <c r="F111" s="18" t="n">
        <v>24.14717</v>
      </c>
      <c r="G111" s="18" t="n">
        <v>399.6</v>
      </c>
      <c r="H111" s="18" t="s">
        <v>19</v>
      </c>
      <c r="I111" s="19" t="s">
        <v>186</v>
      </c>
      <c r="J111" s="6" t="s">
        <v>187</v>
      </c>
      <c r="K111" s="19" t="s">
        <v>188</v>
      </c>
      <c r="L111" s="18" t="s">
        <v>183</v>
      </c>
      <c r="M111" s="18" t="s">
        <v>24</v>
      </c>
      <c r="N111" s="18" t="s">
        <v>37</v>
      </c>
      <c r="O111" s="18" t="s">
        <v>87</v>
      </c>
    </row>
    <row r="112" customFormat="false" ht="14.25" hidden="false" customHeight="true" outlineLevel="0" collapsed="false">
      <c r="A112" s="18" t="s">
        <v>15</v>
      </c>
      <c r="B112" s="19" t="s">
        <v>16</v>
      </c>
      <c r="C112" s="19" t="s">
        <v>170</v>
      </c>
      <c r="D112" s="19" t="s">
        <v>192</v>
      </c>
      <c r="E112" s="18" t="n">
        <v>-33.66641</v>
      </c>
      <c r="F112" s="18" t="n">
        <v>24.38569</v>
      </c>
      <c r="G112" s="18" t="n">
        <v>175.2</v>
      </c>
      <c r="H112" s="18" t="s">
        <v>19</v>
      </c>
      <c r="I112" s="19" t="s">
        <v>186</v>
      </c>
      <c r="J112" s="6" t="s">
        <v>187</v>
      </c>
      <c r="K112" s="19" t="s">
        <v>188</v>
      </c>
      <c r="L112" s="18" t="s">
        <v>183</v>
      </c>
      <c r="M112" s="18" t="s">
        <v>24</v>
      </c>
      <c r="N112" s="18" t="s">
        <v>37</v>
      </c>
      <c r="O112" s="18" t="s">
        <v>87</v>
      </c>
    </row>
    <row r="113" customFormat="false" ht="14.25" hidden="false" customHeight="true" outlineLevel="0" collapsed="false">
      <c r="A113" s="18" t="s">
        <v>15</v>
      </c>
      <c r="B113" s="19" t="s">
        <v>16</v>
      </c>
      <c r="C113" s="19" t="s">
        <v>170</v>
      </c>
      <c r="D113" s="6" t="s">
        <v>193</v>
      </c>
      <c r="E113" s="18" t="n">
        <v>-33.4933</v>
      </c>
      <c r="F113" s="18" t="n">
        <v>23.63685</v>
      </c>
      <c r="G113" s="18" t="n">
        <v>1019.3</v>
      </c>
      <c r="H113" s="18" t="s">
        <v>19</v>
      </c>
      <c r="I113" s="19" t="s">
        <v>194</v>
      </c>
      <c r="J113" s="6" t="s">
        <v>195</v>
      </c>
      <c r="K113" s="19" t="s">
        <v>196</v>
      </c>
      <c r="L113" s="18" t="s">
        <v>197</v>
      </c>
      <c r="M113" s="18" t="s">
        <v>24</v>
      </c>
      <c r="N113" s="18" t="s">
        <v>37</v>
      </c>
      <c r="O113" s="18" t="s">
        <v>87</v>
      </c>
    </row>
    <row r="114" customFormat="false" ht="14.25" hidden="false" customHeight="true" outlineLevel="0" collapsed="false">
      <c r="A114" s="18" t="s">
        <v>15</v>
      </c>
      <c r="B114" s="19" t="s">
        <v>16</v>
      </c>
      <c r="C114" s="19" t="s">
        <v>170</v>
      </c>
      <c r="D114" s="6" t="s">
        <v>198</v>
      </c>
      <c r="E114" s="18" t="n">
        <v>-33.52325</v>
      </c>
      <c r="F114" s="18" t="n">
        <v>23.72985</v>
      </c>
      <c r="G114" s="18" t="n">
        <v>770</v>
      </c>
      <c r="H114" s="18" t="s">
        <v>19</v>
      </c>
      <c r="I114" s="19" t="s">
        <v>194</v>
      </c>
      <c r="J114" s="6" t="s">
        <v>195</v>
      </c>
      <c r="K114" s="19" t="s">
        <v>196</v>
      </c>
      <c r="L114" s="18" t="s">
        <v>197</v>
      </c>
      <c r="M114" s="18" t="s">
        <v>24</v>
      </c>
      <c r="N114" s="18" t="s">
        <v>37</v>
      </c>
      <c r="O114" s="18" t="s">
        <v>87</v>
      </c>
    </row>
    <row r="115" customFormat="false" ht="14.25" hidden="false" customHeight="true" outlineLevel="0" collapsed="false">
      <c r="A115" s="18" t="s">
        <v>15</v>
      </c>
      <c r="B115" s="19" t="s">
        <v>16</v>
      </c>
      <c r="C115" s="19" t="s">
        <v>170</v>
      </c>
      <c r="D115" s="6" t="s">
        <v>199</v>
      </c>
      <c r="E115" s="18" t="n">
        <v>-33.5225</v>
      </c>
      <c r="F115" s="18" t="n">
        <v>23.84583</v>
      </c>
      <c r="G115" s="18" t="n">
        <v>641.1</v>
      </c>
      <c r="H115" s="18" t="s">
        <v>19</v>
      </c>
      <c r="I115" s="19" t="s">
        <v>194</v>
      </c>
      <c r="J115" s="6" t="s">
        <v>195</v>
      </c>
      <c r="K115" s="19" t="s">
        <v>196</v>
      </c>
      <c r="L115" s="18" t="s">
        <v>197</v>
      </c>
      <c r="M115" s="18" t="s">
        <v>24</v>
      </c>
      <c r="N115" s="18" t="s">
        <v>37</v>
      </c>
      <c r="O115" s="18" t="s">
        <v>87</v>
      </c>
    </row>
    <row r="116" customFormat="false" ht="14.25" hidden="false" customHeight="true" outlineLevel="0" collapsed="false">
      <c r="A116" s="18" t="s">
        <v>15</v>
      </c>
      <c r="B116" s="19" t="s">
        <v>16</v>
      </c>
      <c r="C116" s="19" t="s">
        <v>170</v>
      </c>
      <c r="D116" s="19" t="s">
        <v>200</v>
      </c>
      <c r="E116" s="18" t="n">
        <v>-33.57673</v>
      </c>
      <c r="F116" s="18" t="n">
        <v>24.13177</v>
      </c>
      <c r="G116" s="18" t="n">
        <v>393.6</v>
      </c>
      <c r="H116" s="18" t="s">
        <v>19</v>
      </c>
      <c r="I116" s="19" t="s">
        <v>201</v>
      </c>
      <c r="J116" s="6" t="s">
        <v>160</v>
      </c>
      <c r="K116" s="19" t="s">
        <v>196</v>
      </c>
      <c r="L116" s="18" t="s">
        <v>197</v>
      </c>
      <c r="M116" s="18" t="s">
        <v>24</v>
      </c>
      <c r="N116" s="18" t="s">
        <v>37</v>
      </c>
      <c r="O116" s="18" t="s">
        <v>87</v>
      </c>
    </row>
    <row r="117" customFormat="false" ht="14.25" hidden="false" customHeight="true" outlineLevel="0" collapsed="false">
      <c r="A117" s="18" t="s">
        <v>15</v>
      </c>
      <c r="B117" s="19" t="s">
        <v>16</v>
      </c>
      <c r="C117" s="19" t="s">
        <v>170</v>
      </c>
      <c r="D117" s="19" t="s">
        <v>202</v>
      </c>
      <c r="E117" s="18" t="n">
        <v>-33.57951</v>
      </c>
      <c r="F117" s="18" t="n">
        <v>24.13303</v>
      </c>
      <c r="G117" s="18" t="n">
        <v>390.5</v>
      </c>
      <c r="H117" s="18" t="s">
        <v>19</v>
      </c>
      <c r="I117" s="19" t="s">
        <v>201</v>
      </c>
      <c r="J117" s="6" t="s">
        <v>160</v>
      </c>
      <c r="K117" s="19" t="s">
        <v>196</v>
      </c>
      <c r="L117" s="18" t="s">
        <v>197</v>
      </c>
      <c r="M117" s="18" t="s">
        <v>24</v>
      </c>
      <c r="N117" s="18" t="s">
        <v>37</v>
      </c>
      <c r="O117" s="18" t="s">
        <v>87</v>
      </c>
    </row>
    <row r="118" customFormat="false" ht="14.25" hidden="false" customHeight="true" outlineLevel="0" collapsed="false">
      <c r="A118" s="18" t="s">
        <v>15</v>
      </c>
      <c r="B118" s="19" t="s">
        <v>16</v>
      </c>
      <c r="C118" s="19" t="s">
        <v>170</v>
      </c>
      <c r="D118" s="19" t="s">
        <v>203</v>
      </c>
      <c r="E118" s="18" t="n">
        <v>-33.57829</v>
      </c>
      <c r="F118" s="18" t="n">
        <v>24.13355</v>
      </c>
      <c r="G118" s="18" t="n">
        <v>391.2</v>
      </c>
      <c r="H118" s="18" t="s">
        <v>19</v>
      </c>
      <c r="I118" s="19" t="s">
        <v>201</v>
      </c>
      <c r="J118" s="6" t="s">
        <v>160</v>
      </c>
      <c r="K118" s="19" t="s">
        <v>196</v>
      </c>
      <c r="L118" s="18" t="s">
        <v>197</v>
      </c>
      <c r="M118" s="18" t="s">
        <v>24</v>
      </c>
      <c r="N118" s="18" t="s">
        <v>37</v>
      </c>
      <c r="O118" s="18" t="s">
        <v>87</v>
      </c>
    </row>
    <row r="119" customFormat="false" ht="14.25" hidden="false" customHeight="true" outlineLevel="0" collapsed="false">
      <c r="A119" s="18" t="s">
        <v>15</v>
      </c>
      <c r="B119" s="19" t="s">
        <v>16</v>
      </c>
      <c r="C119" s="19" t="s">
        <v>170</v>
      </c>
      <c r="D119" s="19" t="s">
        <v>204</v>
      </c>
      <c r="E119" s="18" t="n">
        <v>-33.57895</v>
      </c>
      <c r="F119" s="18" t="n">
        <v>24.13804</v>
      </c>
      <c r="G119" s="18" t="n">
        <v>387.8</v>
      </c>
      <c r="H119" s="18" t="s">
        <v>19</v>
      </c>
      <c r="I119" s="19" t="s">
        <v>201</v>
      </c>
      <c r="J119" s="6" t="s">
        <v>160</v>
      </c>
      <c r="K119" s="19" t="s">
        <v>196</v>
      </c>
      <c r="L119" s="18" t="s">
        <v>197</v>
      </c>
      <c r="M119" s="18" t="s">
        <v>24</v>
      </c>
      <c r="N119" s="18" t="s">
        <v>37</v>
      </c>
      <c r="O119" s="18" t="s">
        <v>87</v>
      </c>
    </row>
    <row r="120" customFormat="false" ht="14.25" hidden="false" customHeight="true" outlineLevel="0" collapsed="false">
      <c r="A120" s="18" t="s">
        <v>15</v>
      </c>
      <c r="B120" s="19" t="s">
        <v>16</v>
      </c>
      <c r="C120" s="19" t="s">
        <v>170</v>
      </c>
      <c r="D120" s="19" t="s">
        <v>205</v>
      </c>
      <c r="E120" s="18" t="n">
        <v>-33.5225</v>
      </c>
      <c r="F120" s="18" t="n">
        <v>23.84583</v>
      </c>
      <c r="G120" s="18" t="n">
        <v>641.1</v>
      </c>
      <c r="H120" s="18" t="s">
        <v>19</v>
      </c>
      <c r="I120" s="19" t="s">
        <v>206</v>
      </c>
      <c r="J120" s="6" t="s">
        <v>207</v>
      </c>
      <c r="K120" s="19" t="s">
        <v>208</v>
      </c>
      <c r="L120" s="18" t="s">
        <v>209</v>
      </c>
      <c r="M120" s="18" t="s">
        <v>24</v>
      </c>
      <c r="N120" s="18" t="s">
        <v>210</v>
      </c>
      <c r="O120" s="18" t="s">
        <v>87</v>
      </c>
    </row>
    <row r="121" customFormat="false" ht="14.25" hidden="false" customHeight="true" outlineLevel="0" collapsed="false">
      <c r="A121" s="18" t="s">
        <v>15</v>
      </c>
      <c r="B121" s="19" t="s">
        <v>16</v>
      </c>
      <c r="C121" s="19" t="s">
        <v>170</v>
      </c>
      <c r="D121" s="19" t="s">
        <v>211</v>
      </c>
      <c r="E121" s="18" t="n">
        <v>-33.5298</v>
      </c>
      <c r="F121" s="18" t="n">
        <v>23.90759</v>
      </c>
      <c r="G121" s="18" t="n">
        <v>598.7</v>
      </c>
      <c r="H121" s="18" t="s">
        <v>19</v>
      </c>
      <c r="I121" s="19" t="s">
        <v>206</v>
      </c>
      <c r="J121" s="6" t="s">
        <v>207</v>
      </c>
      <c r="K121" s="19" t="s">
        <v>208</v>
      </c>
      <c r="L121" s="18" t="s">
        <v>209</v>
      </c>
      <c r="M121" s="18" t="s">
        <v>24</v>
      </c>
      <c r="N121" s="18" t="s">
        <v>210</v>
      </c>
      <c r="O121" s="18" t="s">
        <v>87</v>
      </c>
    </row>
    <row r="122" customFormat="false" ht="14.25" hidden="false" customHeight="true" outlineLevel="0" collapsed="false">
      <c r="A122" s="18" t="s">
        <v>15</v>
      </c>
      <c r="B122" s="19" t="s">
        <v>16</v>
      </c>
      <c r="C122" s="19" t="s">
        <v>170</v>
      </c>
      <c r="D122" s="19" t="s">
        <v>212</v>
      </c>
      <c r="E122" s="18" t="n">
        <v>-33.5637</v>
      </c>
      <c r="F122" s="18" t="n">
        <v>24.06234</v>
      </c>
      <c r="G122" s="18" t="n">
        <v>445.8</v>
      </c>
      <c r="H122" s="18" t="s">
        <v>19</v>
      </c>
      <c r="I122" s="19" t="s">
        <v>206</v>
      </c>
      <c r="J122" s="6" t="s">
        <v>207</v>
      </c>
      <c r="K122" s="19" t="s">
        <v>208</v>
      </c>
      <c r="L122" s="18" t="s">
        <v>209</v>
      </c>
      <c r="M122" s="18" t="s">
        <v>24</v>
      </c>
      <c r="N122" s="18" t="s">
        <v>210</v>
      </c>
      <c r="O122" s="18" t="s">
        <v>87</v>
      </c>
    </row>
    <row r="123" customFormat="false" ht="14.25" hidden="false" customHeight="true" outlineLevel="0" collapsed="false">
      <c r="A123" s="18" t="s">
        <v>15</v>
      </c>
      <c r="B123" s="19" t="s">
        <v>16</v>
      </c>
      <c r="C123" s="19" t="s">
        <v>170</v>
      </c>
      <c r="D123" s="19" t="s">
        <v>213</v>
      </c>
      <c r="E123" s="18" t="n">
        <v>-33.582</v>
      </c>
      <c r="F123" s="18" t="n">
        <v>24.13396</v>
      </c>
      <c r="G123" s="18" t="n">
        <v>386.9</v>
      </c>
      <c r="H123" s="18" t="s">
        <v>19</v>
      </c>
      <c r="I123" s="19" t="s">
        <v>206</v>
      </c>
      <c r="J123" s="6" t="s">
        <v>207</v>
      </c>
      <c r="K123" s="19" t="s">
        <v>208</v>
      </c>
      <c r="L123" s="18" t="s">
        <v>209</v>
      </c>
      <c r="M123" s="18" t="s">
        <v>24</v>
      </c>
      <c r="N123" s="18" t="s">
        <v>210</v>
      </c>
      <c r="O123" s="18" t="s">
        <v>87</v>
      </c>
    </row>
    <row r="124" customFormat="false" ht="14.25" hidden="false" customHeight="true" outlineLevel="0" collapsed="false">
      <c r="A124" s="18" t="s">
        <v>15</v>
      </c>
      <c r="B124" s="19" t="s">
        <v>16</v>
      </c>
      <c r="C124" s="19" t="s">
        <v>170</v>
      </c>
      <c r="D124" s="19" t="s">
        <v>214</v>
      </c>
      <c r="E124" s="18" t="n">
        <v>-33.6012</v>
      </c>
      <c r="F124" s="18" t="n">
        <v>24.18192</v>
      </c>
      <c r="G124" s="18" t="n">
        <v>353.2</v>
      </c>
      <c r="H124" s="18" t="s">
        <v>19</v>
      </c>
      <c r="I124" s="19" t="s">
        <v>206</v>
      </c>
      <c r="J124" s="6" t="s">
        <v>207</v>
      </c>
      <c r="K124" s="19" t="s">
        <v>208</v>
      </c>
      <c r="L124" s="18" t="s">
        <v>209</v>
      </c>
      <c r="M124" s="18" t="s">
        <v>24</v>
      </c>
      <c r="N124" s="18" t="s">
        <v>210</v>
      </c>
      <c r="O124" s="18" t="s">
        <v>87</v>
      </c>
    </row>
    <row r="125" customFormat="false" ht="14.25" hidden="false" customHeight="true" outlineLevel="0" collapsed="false">
      <c r="A125" s="18" t="s">
        <v>15</v>
      </c>
      <c r="B125" s="19" t="s">
        <v>16</v>
      </c>
      <c r="C125" s="19" t="s">
        <v>170</v>
      </c>
      <c r="D125" s="19" t="s">
        <v>215</v>
      </c>
      <c r="E125" s="18" t="n">
        <v>-33.6015</v>
      </c>
      <c r="F125" s="18" t="n">
        <v>24.20712</v>
      </c>
      <c r="G125" s="18" t="n">
        <v>337.7</v>
      </c>
      <c r="H125" s="18" t="s">
        <v>19</v>
      </c>
      <c r="I125" s="19" t="s">
        <v>206</v>
      </c>
      <c r="J125" s="6" t="s">
        <v>207</v>
      </c>
      <c r="K125" s="19" t="s">
        <v>208</v>
      </c>
      <c r="L125" s="18" t="s">
        <v>209</v>
      </c>
      <c r="M125" s="18" t="s">
        <v>24</v>
      </c>
      <c r="N125" s="18" t="s">
        <v>210</v>
      </c>
      <c r="O125" s="18" t="s">
        <v>87</v>
      </c>
    </row>
    <row r="126" customFormat="false" ht="14.25" hidden="false" customHeight="true" outlineLevel="0" collapsed="false">
      <c r="A126" s="18" t="s">
        <v>15</v>
      </c>
      <c r="B126" s="19" t="s">
        <v>16</v>
      </c>
      <c r="C126" s="19" t="s">
        <v>170</v>
      </c>
      <c r="D126" s="19" t="s">
        <v>216</v>
      </c>
      <c r="E126" s="18" t="n">
        <v>-33.6121</v>
      </c>
      <c r="F126" s="18" t="n">
        <v>24.24658</v>
      </c>
      <c r="G126" s="18" t="n">
        <v>307.3</v>
      </c>
      <c r="H126" s="18" t="s">
        <v>19</v>
      </c>
      <c r="I126" s="19" t="s">
        <v>206</v>
      </c>
      <c r="J126" s="6" t="s">
        <v>207</v>
      </c>
      <c r="K126" s="19" t="s">
        <v>208</v>
      </c>
      <c r="L126" s="18" t="s">
        <v>209</v>
      </c>
      <c r="M126" s="18" t="s">
        <v>24</v>
      </c>
      <c r="N126" s="18" t="s">
        <v>210</v>
      </c>
      <c r="O126" s="18" t="s">
        <v>87</v>
      </c>
    </row>
    <row r="127" customFormat="false" ht="14.25" hidden="false" customHeight="true" outlineLevel="0" collapsed="false">
      <c r="A127" s="18" t="s">
        <v>15</v>
      </c>
      <c r="B127" s="19" t="s">
        <v>16</v>
      </c>
      <c r="C127" s="19" t="s">
        <v>170</v>
      </c>
      <c r="D127" s="19" t="s">
        <v>217</v>
      </c>
      <c r="E127" s="18" t="n">
        <v>-33.57576</v>
      </c>
      <c r="F127" s="18" t="n">
        <v>24.13175</v>
      </c>
      <c r="G127" s="18" t="n">
        <v>394.2</v>
      </c>
      <c r="H127" s="18" t="s">
        <v>19</v>
      </c>
      <c r="I127" s="19" t="s">
        <v>218</v>
      </c>
      <c r="J127" s="6" t="s">
        <v>219</v>
      </c>
      <c r="K127" s="19" t="s">
        <v>208</v>
      </c>
      <c r="L127" s="18" t="s">
        <v>209</v>
      </c>
      <c r="M127" s="18" t="s">
        <v>24</v>
      </c>
      <c r="N127" s="18" t="s">
        <v>210</v>
      </c>
      <c r="O127" s="18" t="s">
        <v>87</v>
      </c>
    </row>
    <row r="128" customFormat="false" ht="14.25" hidden="false" customHeight="true" outlineLevel="0" collapsed="false">
      <c r="A128" s="18" t="s">
        <v>15</v>
      </c>
      <c r="B128" s="19" t="s">
        <v>16</v>
      </c>
      <c r="C128" s="19" t="s">
        <v>170</v>
      </c>
      <c r="D128" s="19" t="s">
        <v>220</v>
      </c>
      <c r="E128" s="18" t="n">
        <v>-33.57714</v>
      </c>
      <c r="F128" s="18" t="n">
        <v>24.13189</v>
      </c>
      <c r="G128" s="18" t="n">
        <v>391.8</v>
      </c>
      <c r="H128" s="18" t="s">
        <v>19</v>
      </c>
      <c r="I128" s="19" t="s">
        <v>218</v>
      </c>
      <c r="J128" s="6" t="s">
        <v>219</v>
      </c>
      <c r="K128" s="19" t="s">
        <v>208</v>
      </c>
      <c r="L128" s="18" t="s">
        <v>209</v>
      </c>
      <c r="M128" s="18" t="s">
        <v>24</v>
      </c>
      <c r="N128" s="18" t="s">
        <v>210</v>
      </c>
      <c r="O128" s="18" t="s">
        <v>87</v>
      </c>
    </row>
    <row r="129" customFormat="false" ht="14.25" hidden="false" customHeight="true" outlineLevel="0" collapsed="false">
      <c r="A129" s="18" t="s">
        <v>15</v>
      </c>
      <c r="B129" s="19" t="s">
        <v>16</v>
      </c>
      <c r="C129" s="19" t="s">
        <v>170</v>
      </c>
      <c r="D129" s="19" t="s">
        <v>221</v>
      </c>
      <c r="E129" s="18" t="n">
        <v>-33.57934</v>
      </c>
      <c r="F129" s="18" t="n">
        <v>24.13201</v>
      </c>
      <c r="G129" s="18" t="n">
        <v>393</v>
      </c>
      <c r="H129" s="18" t="s">
        <v>19</v>
      </c>
      <c r="I129" s="19" t="s">
        <v>218</v>
      </c>
      <c r="J129" s="6" t="s">
        <v>219</v>
      </c>
      <c r="K129" s="19" t="s">
        <v>208</v>
      </c>
      <c r="L129" s="18" t="s">
        <v>209</v>
      </c>
      <c r="M129" s="18" t="s">
        <v>24</v>
      </c>
      <c r="N129" s="18" t="s">
        <v>210</v>
      </c>
      <c r="O129" s="18" t="s">
        <v>87</v>
      </c>
    </row>
    <row r="130" customFormat="false" ht="14.25" hidden="false" customHeight="true" outlineLevel="0" collapsed="false">
      <c r="A130" s="18" t="s">
        <v>15</v>
      </c>
      <c r="B130" s="19" t="s">
        <v>16</v>
      </c>
      <c r="C130" s="19" t="s">
        <v>170</v>
      </c>
      <c r="D130" s="19" t="s">
        <v>222</v>
      </c>
      <c r="E130" s="18" t="n">
        <v>-33.57797</v>
      </c>
      <c r="F130" s="18" t="n">
        <v>24.13211</v>
      </c>
      <c r="G130" s="18" t="n">
        <v>391.9</v>
      </c>
      <c r="H130" s="18" t="s">
        <v>19</v>
      </c>
      <c r="I130" s="19" t="s">
        <v>218</v>
      </c>
      <c r="J130" s="6" t="s">
        <v>219</v>
      </c>
      <c r="K130" s="19" t="s">
        <v>208</v>
      </c>
      <c r="L130" s="18" t="s">
        <v>209</v>
      </c>
      <c r="M130" s="18" t="s">
        <v>24</v>
      </c>
      <c r="N130" s="18" t="s">
        <v>210</v>
      </c>
      <c r="O130" s="18" t="s">
        <v>87</v>
      </c>
    </row>
    <row r="131" customFormat="false" ht="14.25" hidden="false" customHeight="true" outlineLevel="0" collapsed="false">
      <c r="A131" s="18" t="s">
        <v>15</v>
      </c>
      <c r="B131" s="19" t="s">
        <v>16</v>
      </c>
      <c r="C131" s="19" t="s">
        <v>170</v>
      </c>
      <c r="D131" s="19" t="s">
        <v>223</v>
      </c>
      <c r="E131" s="18" t="n">
        <v>-33.57845</v>
      </c>
      <c r="F131" s="18" t="n">
        <v>24.13217</v>
      </c>
      <c r="G131" s="18" t="n">
        <v>392.7</v>
      </c>
      <c r="H131" s="18" t="s">
        <v>19</v>
      </c>
      <c r="I131" s="19" t="s">
        <v>218</v>
      </c>
      <c r="J131" s="6" t="s">
        <v>219</v>
      </c>
      <c r="K131" s="19" t="s">
        <v>208</v>
      </c>
      <c r="L131" s="18" t="s">
        <v>209</v>
      </c>
      <c r="M131" s="18" t="s">
        <v>24</v>
      </c>
      <c r="N131" s="18" t="s">
        <v>210</v>
      </c>
      <c r="O131" s="18" t="s">
        <v>87</v>
      </c>
    </row>
    <row r="132" customFormat="false" ht="14.25" hidden="false" customHeight="true" outlineLevel="0" collapsed="false">
      <c r="A132" s="18" t="s">
        <v>15</v>
      </c>
      <c r="B132" s="19" t="s">
        <v>16</v>
      </c>
      <c r="C132" s="19" t="s">
        <v>170</v>
      </c>
      <c r="D132" s="19" t="s">
        <v>224</v>
      </c>
      <c r="E132" s="18" t="n">
        <v>-33.57872</v>
      </c>
      <c r="F132" s="18" t="n">
        <v>24.13338</v>
      </c>
      <c r="G132" s="18" t="n">
        <v>390.5</v>
      </c>
      <c r="H132" s="18" t="s">
        <v>19</v>
      </c>
      <c r="I132" s="19" t="s">
        <v>218</v>
      </c>
      <c r="J132" s="6" t="s">
        <v>219</v>
      </c>
      <c r="K132" s="19" t="s">
        <v>208</v>
      </c>
      <c r="L132" s="18" t="s">
        <v>209</v>
      </c>
      <c r="M132" s="18" t="s">
        <v>24</v>
      </c>
      <c r="N132" s="18" t="s">
        <v>210</v>
      </c>
      <c r="O132" s="18" t="s">
        <v>87</v>
      </c>
    </row>
    <row r="133" customFormat="false" ht="14.25" hidden="false" customHeight="true" outlineLevel="0" collapsed="false">
      <c r="A133" s="18" t="s">
        <v>15</v>
      </c>
      <c r="B133" s="19" t="s">
        <v>16</v>
      </c>
      <c r="C133" s="19" t="s">
        <v>170</v>
      </c>
      <c r="D133" s="19" t="s">
        <v>225</v>
      </c>
      <c r="E133" s="18" t="n">
        <v>-33.57723</v>
      </c>
      <c r="F133" s="18" t="n">
        <v>24.13393</v>
      </c>
      <c r="G133" s="18" t="n">
        <v>390.9</v>
      </c>
      <c r="H133" s="18" t="s">
        <v>19</v>
      </c>
      <c r="I133" s="19" t="s">
        <v>218</v>
      </c>
      <c r="J133" s="6" t="s">
        <v>219</v>
      </c>
      <c r="K133" s="19" t="s">
        <v>208</v>
      </c>
      <c r="L133" s="18" t="s">
        <v>209</v>
      </c>
      <c r="M133" s="18" t="s">
        <v>24</v>
      </c>
      <c r="N133" s="18" t="s">
        <v>210</v>
      </c>
      <c r="O133" s="18" t="s">
        <v>87</v>
      </c>
    </row>
    <row r="134" customFormat="false" ht="14.25" hidden="false" customHeight="true" outlineLevel="0" collapsed="false">
      <c r="A134" s="18" t="s">
        <v>15</v>
      </c>
      <c r="B134" s="19" t="s">
        <v>16</v>
      </c>
      <c r="C134" s="19" t="s">
        <v>170</v>
      </c>
      <c r="D134" s="19" t="s">
        <v>226</v>
      </c>
      <c r="E134" s="18" t="n">
        <v>-33.57644</v>
      </c>
      <c r="F134" s="18" t="n">
        <v>24.13403</v>
      </c>
      <c r="G134" s="18" t="n">
        <v>392.6</v>
      </c>
      <c r="H134" s="18" t="s">
        <v>19</v>
      </c>
      <c r="I134" s="19" t="s">
        <v>218</v>
      </c>
      <c r="J134" s="6" t="s">
        <v>219</v>
      </c>
      <c r="K134" s="19" t="s">
        <v>208</v>
      </c>
      <c r="L134" s="18" t="s">
        <v>209</v>
      </c>
      <c r="M134" s="18" t="s">
        <v>24</v>
      </c>
      <c r="N134" s="18" t="s">
        <v>210</v>
      </c>
      <c r="O134" s="18" t="s">
        <v>87</v>
      </c>
    </row>
    <row r="135" customFormat="false" ht="14.25" hidden="false" customHeight="true" outlineLevel="0" collapsed="false">
      <c r="A135" s="18" t="s">
        <v>15</v>
      </c>
      <c r="B135" s="19" t="s">
        <v>16</v>
      </c>
      <c r="C135" s="19" t="s">
        <v>170</v>
      </c>
      <c r="D135" s="19" t="s">
        <v>227</v>
      </c>
      <c r="E135" s="18" t="n">
        <v>-33.57522</v>
      </c>
      <c r="F135" s="18" t="n">
        <v>24.13454</v>
      </c>
      <c r="G135" s="18" t="n">
        <v>392.6</v>
      </c>
      <c r="H135" s="18" t="s">
        <v>19</v>
      </c>
      <c r="I135" s="19" t="s">
        <v>218</v>
      </c>
      <c r="J135" s="6" t="s">
        <v>219</v>
      </c>
      <c r="K135" s="19" t="s">
        <v>208</v>
      </c>
      <c r="L135" s="18" t="s">
        <v>209</v>
      </c>
      <c r="M135" s="18" t="s">
        <v>24</v>
      </c>
      <c r="N135" s="18" t="s">
        <v>210</v>
      </c>
      <c r="O135" s="18" t="s">
        <v>87</v>
      </c>
    </row>
    <row r="136" customFormat="false" ht="14.25" hidden="false" customHeight="true" outlineLevel="0" collapsed="false">
      <c r="A136" s="18" t="s">
        <v>15</v>
      </c>
      <c r="B136" s="19" t="s">
        <v>16</v>
      </c>
      <c r="C136" s="19" t="s">
        <v>170</v>
      </c>
      <c r="D136" s="19" t="s">
        <v>228</v>
      </c>
      <c r="E136" s="18" t="n">
        <v>-33.58075</v>
      </c>
      <c r="F136" s="18" t="n">
        <v>24.13706</v>
      </c>
      <c r="G136" s="18" t="n">
        <v>387.1</v>
      </c>
      <c r="H136" s="18" t="s">
        <v>19</v>
      </c>
      <c r="I136" s="19" t="s">
        <v>218</v>
      </c>
      <c r="J136" s="6" t="s">
        <v>219</v>
      </c>
      <c r="K136" s="19" t="s">
        <v>208</v>
      </c>
      <c r="L136" s="18" t="s">
        <v>209</v>
      </c>
      <c r="M136" s="18" t="s">
        <v>24</v>
      </c>
      <c r="N136" s="18" t="s">
        <v>210</v>
      </c>
      <c r="O136" s="18" t="s">
        <v>87</v>
      </c>
    </row>
    <row r="137" customFormat="false" ht="14.25" hidden="false" customHeight="true" outlineLevel="0" collapsed="false">
      <c r="A137" s="18" t="s">
        <v>15</v>
      </c>
      <c r="B137" s="19" t="s">
        <v>16</v>
      </c>
      <c r="C137" s="19" t="s">
        <v>170</v>
      </c>
      <c r="D137" s="19" t="s">
        <v>229</v>
      </c>
      <c r="E137" s="18" t="n">
        <v>-33.58032</v>
      </c>
      <c r="F137" s="18" t="n">
        <v>24.13734</v>
      </c>
      <c r="G137" s="18" t="n">
        <v>387.3</v>
      </c>
      <c r="H137" s="18" t="s">
        <v>19</v>
      </c>
      <c r="I137" s="19" t="s">
        <v>218</v>
      </c>
      <c r="J137" s="6" t="s">
        <v>219</v>
      </c>
      <c r="K137" s="19" t="s">
        <v>208</v>
      </c>
      <c r="L137" s="18" t="s">
        <v>209</v>
      </c>
      <c r="M137" s="18" t="s">
        <v>24</v>
      </c>
      <c r="N137" s="18" t="s">
        <v>210</v>
      </c>
      <c r="O137" s="18" t="s">
        <v>87</v>
      </c>
    </row>
    <row r="138" customFormat="false" ht="14.25" hidden="false" customHeight="true" outlineLevel="0" collapsed="false">
      <c r="A138" s="18" t="s">
        <v>15</v>
      </c>
      <c r="B138" s="19" t="s">
        <v>16</v>
      </c>
      <c r="C138" s="19" t="s">
        <v>170</v>
      </c>
      <c r="D138" s="19" t="s">
        <v>230</v>
      </c>
      <c r="E138" s="18" t="n">
        <v>-33.58181</v>
      </c>
      <c r="F138" s="18" t="n">
        <v>24.13741</v>
      </c>
      <c r="G138" s="18" t="n">
        <v>387.2</v>
      </c>
      <c r="H138" s="18" t="s">
        <v>19</v>
      </c>
      <c r="I138" s="19" t="s">
        <v>218</v>
      </c>
      <c r="J138" s="6" t="s">
        <v>219</v>
      </c>
      <c r="K138" s="19" t="s">
        <v>208</v>
      </c>
      <c r="L138" s="18" t="s">
        <v>209</v>
      </c>
      <c r="M138" s="18" t="s">
        <v>24</v>
      </c>
      <c r="N138" s="18" t="s">
        <v>210</v>
      </c>
      <c r="O138" s="18" t="s">
        <v>87</v>
      </c>
    </row>
    <row r="139" customFormat="false" ht="14.25" hidden="false" customHeight="true" outlineLevel="0" collapsed="false">
      <c r="A139" s="18" t="s">
        <v>15</v>
      </c>
      <c r="B139" s="19" t="s">
        <v>16</v>
      </c>
      <c r="C139" s="19" t="s">
        <v>170</v>
      </c>
      <c r="D139" s="19" t="s">
        <v>231</v>
      </c>
      <c r="E139" s="18" t="n">
        <v>-33.57945</v>
      </c>
      <c r="F139" s="18" t="n">
        <v>24.13778</v>
      </c>
      <c r="G139" s="18" t="n">
        <v>387.9</v>
      </c>
      <c r="H139" s="18" t="s">
        <v>19</v>
      </c>
      <c r="I139" s="19" t="s">
        <v>218</v>
      </c>
      <c r="J139" s="6" t="s">
        <v>219</v>
      </c>
      <c r="K139" s="19" t="s">
        <v>208</v>
      </c>
      <c r="L139" s="18" t="s">
        <v>209</v>
      </c>
      <c r="M139" s="18" t="s">
        <v>24</v>
      </c>
      <c r="N139" s="18" t="s">
        <v>210</v>
      </c>
      <c r="O139" s="18" t="s">
        <v>87</v>
      </c>
    </row>
    <row r="140" customFormat="false" ht="14.25" hidden="false" customHeight="true" outlineLevel="0" collapsed="false">
      <c r="A140" s="18" t="s">
        <v>15</v>
      </c>
      <c r="B140" s="19" t="s">
        <v>16</v>
      </c>
      <c r="C140" s="19" t="s">
        <v>170</v>
      </c>
      <c r="D140" s="19" t="s">
        <v>232</v>
      </c>
      <c r="E140" s="18" t="n">
        <v>-33.57826</v>
      </c>
      <c r="F140" s="18" t="n">
        <v>24.13843</v>
      </c>
      <c r="G140" s="18" t="n">
        <v>389.4</v>
      </c>
      <c r="H140" s="18" t="s">
        <v>19</v>
      </c>
      <c r="I140" s="19" t="s">
        <v>218</v>
      </c>
      <c r="J140" s="6" t="s">
        <v>219</v>
      </c>
      <c r="K140" s="19" t="s">
        <v>208</v>
      </c>
      <c r="L140" s="18" t="s">
        <v>209</v>
      </c>
      <c r="M140" s="18" t="s">
        <v>24</v>
      </c>
      <c r="N140" s="18" t="s">
        <v>210</v>
      </c>
      <c r="O140" s="18" t="s">
        <v>87</v>
      </c>
    </row>
    <row r="141" customFormat="false" ht="14.25" hidden="false" customHeight="true" outlineLevel="0" collapsed="false">
      <c r="A141" s="18" t="s">
        <v>15</v>
      </c>
      <c r="B141" s="19" t="s">
        <v>16</v>
      </c>
      <c r="C141" s="6" t="s">
        <v>233</v>
      </c>
      <c r="D141" s="6" t="s">
        <v>234</v>
      </c>
      <c r="E141" s="18" t="n">
        <v>-33.917029</v>
      </c>
      <c r="F141" s="18" t="n">
        <v>24.206527</v>
      </c>
      <c r="G141" s="18" t="n">
        <v>271.8</v>
      </c>
      <c r="H141" s="20" t="s">
        <v>33</v>
      </c>
      <c r="I141" s="5" t="s">
        <v>34</v>
      </c>
      <c r="J141" s="5" t="s">
        <v>34</v>
      </c>
      <c r="K141" s="5" t="s">
        <v>35</v>
      </c>
      <c r="L141" s="18" t="s">
        <v>36</v>
      </c>
      <c r="M141" s="18" t="s">
        <v>24</v>
      </c>
      <c r="N141" s="18" t="s">
        <v>37</v>
      </c>
      <c r="O141" s="18" t="s">
        <v>87</v>
      </c>
    </row>
    <row r="142" customFormat="false" ht="14.25" hidden="false" customHeight="true" outlineLevel="0" collapsed="false">
      <c r="A142" s="18" t="s">
        <v>15</v>
      </c>
      <c r="B142" s="19" t="s">
        <v>16</v>
      </c>
      <c r="C142" s="6" t="s">
        <v>233</v>
      </c>
      <c r="D142" s="6" t="s">
        <v>235</v>
      </c>
      <c r="E142" s="18" t="n">
        <v>-33.909843</v>
      </c>
      <c r="F142" s="18" t="n">
        <v>24.214617</v>
      </c>
      <c r="G142" s="18" t="n">
        <v>475.9</v>
      </c>
      <c r="H142" s="20" t="s">
        <v>33</v>
      </c>
      <c r="I142" s="11" t="s">
        <v>34</v>
      </c>
      <c r="J142" s="11" t="s">
        <v>34</v>
      </c>
      <c r="K142" s="11" t="s">
        <v>35</v>
      </c>
      <c r="L142" s="18" t="s">
        <v>36</v>
      </c>
      <c r="M142" s="18" t="s">
        <v>24</v>
      </c>
      <c r="N142" s="18" t="s">
        <v>37</v>
      </c>
      <c r="O142" s="18" t="s">
        <v>87</v>
      </c>
    </row>
    <row r="143" customFormat="false" ht="14.25" hidden="false" customHeight="true" outlineLevel="0" collapsed="false">
      <c r="A143" s="18" t="s">
        <v>15</v>
      </c>
      <c r="B143" s="19" t="s">
        <v>16</v>
      </c>
      <c r="C143" s="6" t="s">
        <v>233</v>
      </c>
      <c r="D143" s="6" t="s">
        <v>236</v>
      </c>
      <c r="E143" s="18" t="n">
        <v>-33.958907</v>
      </c>
      <c r="F143" s="18" t="n">
        <v>24.367378</v>
      </c>
      <c r="G143" s="18" t="n">
        <v>189.8</v>
      </c>
      <c r="H143" s="20" t="s">
        <v>33</v>
      </c>
      <c r="I143" s="11" t="s">
        <v>34</v>
      </c>
      <c r="J143" s="11" t="s">
        <v>34</v>
      </c>
      <c r="K143" s="11" t="s">
        <v>35</v>
      </c>
      <c r="L143" s="18" t="s">
        <v>36</v>
      </c>
      <c r="M143" s="18" t="s">
        <v>24</v>
      </c>
      <c r="N143" s="18" t="s">
        <v>37</v>
      </c>
      <c r="O143" s="18" t="s">
        <v>87</v>
      </c>
    </row>
    <row r="144" customFormat="false" ht="14.25" hidden="false" customHeight="true" outlineLevel="0" collapsed="false">
      <c r="A144" s="18" t="s">
        <v>15</v>
      </c>
      <c r="B144" s="19" t="s">
        <v>16</v>
      </c>
      <c r="C144" s="6" t="s">
        <v>233</v>
      </c>
      <c r="D144" s="6" t="s">
        <v>237</v>
      </c>
      <c r="E144" s="18" t="n">
        <v>-33.993247</v>
      </c>
      <c r="F144" s="18" t="n">
        <v>24.404651</v>
      </c>
      <c r="G144" s="18" t="n">
        <v>381.4</v>
      </c>
      <c r="H144" s="20" t="s">
        <v>33</v>
      </c>
      <c r="I144" s="11" t="s">
        <v>34</v>
      </c>
      <c r="J144" s="11" t="s">
        <v>34</v>
      </c>
      <c r="K144" s="11" t="s">
        <v>35</v>
      </c>
      <c r="L144" s="18" t="s">
        <v>36</v>
      </c>
      <c r="M144" s="18" t="s">
        <v>24</v>
      </c>
      <c r="N144" s="18" t="s">
        <v>37</v>
      </c>
      <c r="O144" s="18" t="s">
        <v>87</v>
      </c>
    </row>
    <row r="145" customFormat="false" ht="14.25" hidden="false" customHeight="true" outlineLevel="0" collapsed="false">
      <c r="A145" s="18" t="s">
        <v>15</v>
      </c>
      <c r="B145" s="19" t="s">
        <v>16</v>
      </c>
      <c r="C145" s="6" t="s">
        <v>233</v>
      </c>
      <c r="D145" s="6" t="s">
        <v>238</v>
      </c>
      <c r="E145" s="18" t="n">
        <v>-33.963071</v>
      </c>
      <c r="F145" s="18" t="n">
        <v>24.379102</v>
      </c>
      <c r="G145" s="18" t="n">
        <v>183.4</v>
      </c>
      <c r="H145" s="18" t="s">
        <v>19</v>
      </c>
      <c r="I145" s="19" t="s">
        <v>180</v>
      </c>
      <c r="J145" s="6" t="s">
        <v>181</v>
      </c>
      <c r="K145" s="19" t="s">
        <v>182</v>
      </c>
      <c r="L145" s="18" t="s">
        <v>183</v>
      </c>
      <c r="M145" s="18" t="s">
        <v>24</v>
      </c>
      <c r="N145" s="18" t="s">
        <v>37</v>
      </c>
      <c r="O145" s="18" t="s">
        <v>87</v>
      </c>
    </row>
    <row r="146" customFormat="false" ht="14.25" hidden="false" customHeight="true" outlineLevel="0" collapsed="false">
      <c r="A146" s="18" t="s">
        <v>239</v>
      </c>
      <c r="B146" s="19" t="s">
        <v>16</v>
      </c>
      <c r="C146" s="6" t="s">
        <v>233</v>
      </c>
      <c r="D146" s="6" t="s">
        <v>240</v>
      </c>
      <c r="E146" s="18" t="n">
        <v>-33.86738</v>
      </c>
      <c r="F146" s="18" t="n">
        <v>24.016692</v>
      </c>
      <c r="G146" s="18" t="n">
        <v>396.3</v>
      </c>
      <c r="H146" s="18" t="s">
        <v>19</v>
      </c>
      <c r="I146" s="19" t="s">
        <v>186</v>
      </c>
      <c r="J146" s="6" t="s">
        <v>187</v>
      </c>
      <c r="K146" s="19" t="s">
        <v>188</v>
      </c>
      <c r="L146" s="18" t="s">
        <v>183</v>
      </c>
      <c r="M146" s="18" t="s">
        <v>24</v>
      </c>
      <c r="N146" s="18" t="s">
        <v>37</v>
      </c>
      <c r="O146" s="18" t="s">
        <v>87</v>
      </c>
    </row>
    <row r="147" customFormat="false" ht="14.25" hidden="false" customHeight="true" outlineLevel="0" collapsed="false">
      <c r="A147" s="18" t="s">
        <v>239</v>
      </c>
      <c r="B147" s="19" t="s">
        <v>16</v>
      </c>
      <c r="C147" s="6" t="s">
        <v>233</v>
      </c>
      <c r="D147" s="6" t="s">
        <v>241</v>
      </c>
      <c r="E147" s="18" t="n">
        <v>-33.878366</v>
      </c>
      <c r="F147" s="18" t="n">
        <v>24.053166</v>
      </c>
      <c r="G147" s="18" t="n">
        <v>361.5</v>
      </c>
      <c r="H147" s="18" t="s">
        <v>19</v>
      </c>
      <c r="I147" s="19" t="s">
        <v>186</v>
      </c>
      <c r="J147" s="6" t="s">
        <v>187</v>
      </c>
      <c r="K147" s="19" t="s">
        <v>188</v>
      </c>
      <c r="L147" s="18" t="s">
        <v>183</v>
      </c>
      <c r="M147" s="18" t="s">
        <v>24</v>
      </c>
      <c r="N147" s="18" t="s">
        <v>37</v>
      </c>
      <c r="O147" s="18" t="s">
        <v>87</v>
      </c>
    </row>
    <row r="148" customFormat="false" ht="14.25" hidden="false" customHeight="true" outlineLevel="0" collapsed="false">
      <c r="A148" s="18" t="s">
        <v>239</v>
      </c>
      <c r="B148" s="19" t="s">
        <v>16</v>
      </c>
      <c r="C148" s="6" t="s">
        <v>233</v>
      </c>
      <c r="D148" s="6" t="s">
        <v>242</v>
      </c>
      <c r="E148" s="18" t="n">
        <v>-33.884212</v>
      </c>
      <c r="F148" s="18" t="n">
        <v>24.072755</v>
      </c>
      <c r="G148" s="18" t="n">
        <v>346.1</v>
      </c>
      <c r="H148" s="18" t="s">
        <v>19</v>
      </c>
      <c r="I148" s="19" t="s">
        <v>186</v>
      </c>
      <c r="J148" s="6" t="s">
        <v>187</v>
      </c>
      <c r="K148" s="19" t="s">
        <v>188</v>
      </c>
      <c r="L148" s="18" t="s">
        <v>183</v>
      </c>
      <c r="M148" s="18" t="s">
        <v>24</v>
      </c>
      <c r="N148" s="18" t="s">
        <v>37</v>
      </c>
      <c r="O148" s="18" t="s">
        <v>87</v>
      </c>
    </row>
    <row r="149" customFormat="false" ht="14.25" hidden="false" customHeight="true" outlineLevel="0" collapsed="false">
      <c r="A149" s="18" t="s">
        <v>15</v>
      </c>
      <c r="B149" s="19" t="s">
        <v>16</v>
      </c>
      <c r="C149" s="6" t="s">
        <v>233</v>
      </c>
      <c r="D149" s="6" t="s">
        <v>243</v>
      </c>
      <c r="E149" s="18" t="n">
        <v>-33.918867</v>
      </c>
      <c r="F149" s="18" t="n">
        <v>24.208078</v>
      </c>
      <c r="G149" s="18" t="n">
        <v>261.3</v>
      </c>
      <c r="H149" s="18" t="s">
        <v>19</v>
      </c>
      <c r="I149" s="19" t="s">
        <v>186</v>
      </c>
      <c r="J149" s="6" t="s">
        <v>187</v>
      </c>
      <c r="K149" s="19" t="s">
        <v>188</v>
      </c>
      <c r="L149" s="18" t="s">
        <v>183</v>
      </c>
      <c r="M149" s="18" t="s">
        <v>24</v>
      </c>
      <c r="N149" s="18" t="s">
        <v>37</v>
      </c>
      <c r="O149" s="18" t="s">
        <v>87</v>
      </c>
    </row>
    <row r="150" customFormat="false" ht="14.25" hidden="false" customHeight="true" outlineLevel="0" collapsed="false">
      <c r="A150" s="18" t="s">
        <v>15</v>
      </c>
      <c r="B150" s="19" t="s">
        <v>16</v>
      </c>
      <c r="C150" s="6" t="s">
        <v>233</v>
      </c>
      <c r="D150" s="6" t="s">
        <v>244</v>
      </c>
      <c r="E150" s="18" t="n">
        <v>-33.921544</v>
      </c>
      <c r="F150" s="18" t="n">
        <v>24.208673</v>
      </c>
      <c r="G150" s="18" t="n">
        <v>262.2</v>
      </c>
      <c r="H150" s="18" t="s">
        <v>19</v>
      </c>
      <c r="I150" s="19" t="s">
        <v>186</v>
      </c>
      <c r="J150" s="6" t="s">
        <v>187</v>
      </c>
      <c r="K150" s="19" t="s">
        <v>188</v>
      </c>
      <c r="L150" s="18" t="s">
        <v>183</v>
      </c>
      <c r="M150" s="18" t="s">
        <v>73</v>
      </c>
      <c r="N150" s="18" t="s">
        <v>37</v>
      </c>
      <c r="O150" s="18" t="s">
        <v>87</v>
      </c>
    </row>
    <row r="151" customFormat="false" ht="14.25" hidden="false" customHeight="true" outlineLevel="0" collapsed="false">
      <c r="A151" s="18" t="s">
        <v>15</v>
      </c>
      <c r="B151" s="19" t="s">
        <v>16</v>
      </c>
      <c r="C151" s="6" t="s">
        <v>233</v>
      </c>
      <c r="D151" s="6" t="s">
        <v>245</v>
      </c>
      <c r="E151" s="18" t="n">
        <v>-33.912918</v>
      </c>
      <c r="F151" s="18" t="n">
        <v>24.208673</v>
      </c>
      <c r="G151" s="18" t="n">
        <v>310.8</v>
      </c>
      <c r="H151" s="18" t="s">
        <v>19</v>
      </c>
      <c r="I151" s="19" t="s">
        <v>186</v>
      </c>
      <c r="J151" s="6" t="s">
        <v>187</v>
      </c>
      <c r="K151" s="19" t="s">
        <v>188</v>
      </c>
      <c r="L151" s="18" t="s">
        <v>183</v>
      </c>
      <c r="M151" s="18" t="s">
        <v>24</v>
      </c>
      <c r="N151" s="18" t="s">
        <v>37</v>
      </c>
      <c r="O151" s="18" t="s">
        <v>87</v>
      </c>
    </row>
    <row r="152" customFormat="false" ht="14.25" hidden="false" customHeight="true" outlineLevel="0" collapsed="false">
      <c r="A152" s="18" t="s">
        <v>15</v>
      </c>
      <c r="B152" s="19" t="s">
        <v>16</v>
      </c>
      <c r="C152" s="6" t="s">
        <v>233</v>
      </c>
      <c r="D152" s="6" t="s">
        <v>246</v>
      </c>
      <c r="E152" s="18" t="n">
        <v>-33.96037</v>
      </c>
      <c r="F152" s="18" t="n">
        <v>24.370952</v>
      </c>
      <c r="G152" s="18" t="n">
        <v>183.5</v>
      </c>
      <c r="H152" s="18" t="s">
        <v>19</v>
      </c>
      <c r="I152" s="19" t="s">
        <v>186</v>
      </c>
      <c r="J152" s="6" t="s">
        <v>187</v>
      </c>
      <c r="K152" s="19" t="s">
        <v>188</v>
      </c>
      <c r="L152" s="18" t="s">
        <v>183</v>
      </c>
      <c r="M152" s="18" t="s">
        <v>24</v>
      </c>
      <c r="N152" s="18" t="s">
        <v>37</v>
      </c>
      <c r="O152" s="18" t="s">
        <v>87</v>
      </c>
    </row>
    <row r="153" customFormat="false" ht="14.25" hidden="false" customHeight="true" outlineLevel="0" collapsed="false">
      <c r="A153" s="18" t="s">
        <v>15</v>
      </c>
      <c r="B153" s="19" t="s">
        <v>16</v>
      </c>
      <c r="C153" s="6" t="s">
        <v>233</v>
      </c>
      <c r="D153" s="6" t="s">
        <v>247</v>
      </c>
      <c r="E153" s="18" t="n">
        <v>-33.941359</v>
      </c>
      <c r="F153" s="18" t="n">
        <v>24.483453</v>
      </c>
      <c r="G153" s="18" t="n">
        <v>203.5</v>
      </c>
      <c r="H153" s="18" t="s">
        <v>19</v>
      </c>
      <c r="I153" s="19" t="s">
        <v>186</v>
      </c>
      <c r="J153" s="6" t="s">
        <v>187</v>
      </c>
      <c r="K153" s="19" t="s">
        <v>188</v>
      </c>
      <c r="L153" s="18" t="s">
        <v>183</v>
      </c>
      <c r="M153" s="18" t="s">
        <v>24</v>
      </c>
      <c r="N153" s="18" t="s">
        <v>37</v>
      </c>
      <c r="O153" s="18" t="s">
        <v>87</v>
      </c>
    </row>
    <row r="154" customFormat="false" ht="14.25" hidden="false" customHeight="true" outlineLevel="0" collapsed="false">
      <c r="A154" s="18" t="s">
        <v>239</v>
      </c>
      <c r="B154" s="19" t="s">
        <v>16</v>
      </c>
      <c r="C154" s="6" t="s">
        <v>233</v>
      </c>
      <c r="D154" s="6" t="s">
        <v>248</v>
      </c>
      <c r="E154" s="18" t="n">
        <v>-33.862502</v>
      </c>
      <c r="F154" s="18" t="n">
        <v>24.000809</v>
      </c>
      <c r="G154" s="18" t="n">
        <v>419</v>
      </c>
      <c r="H154" s="18" t="s">
        <v>19</v>
      </c>
      <c r="I154" s="19" t="s">
        <v>194</v>
      </c>
      <c r="J154" s="6" t="s">
        <v>195</v>
      </c>
      <c r="K154" s="19" t="s">
        <v>208</v>
      </c>
      <c r="L154" s="18" t="s">
        <v>197</v>
      </c>
      <c r="M154" s="18" t="s">
        <v>24</v>
      </c>
      <c r="N154" s="18" t="s">
        <v>37</v>
      </c>
      <c r="O154" s="18" t="s">
        <v>87</v>
      </c>
    </row>
    <row r="155" customFormat="false" ht="14.25" hidden="false" customHeight="true" outlineLevel="0" collapsed="false">
      <c r="A155" s="18" t="s">
        <v>15</v>
      </c>
      <c r="B155" s="19" t="s">
        <v>16</v>
      </c>
      <c r="C155" s="6" t="s">
        <v>233</v>
      </c>
      <c r="D155" s="6" t="s">
        <v>249</v>
      </c>
      <c r="E155" s="18" t="n">
        <v>-33.910818</v>
      </c>
      <c r="F155" s="18" t="n">
        <v>24.159</v>
      </c>
      <c r="G155" s="18" t="n">
        <v>298.8</v>
      </c>
      <c r="H155" s="18" t="s">
        <v>19</v>
      </c>
      <c r="I155" s="19" t="s">
        <v>194</v>
      </c>
      <c r="J155" s="6" t="s">
        <v>195</v>
      </c>
      <c r="K155" s="19" t="s">
        <v>208</v>
      </c>
      <c r="L155" s="18" t="s">
        <v>197</v>
      </c>
      <c r="M155" s="18" t="s">
        <v>24</v>
      </c>
      <c r="N155" s="18" t="s">
        <v>37</v>
      </c>
      <c r="O155" s="18" t="s">
        <v>87</v>
      </c>
    </row>
    <row r="156" customFormat="false" ht="14.25" hidden="false" customHeight="true" outlineLevel="0" collapsed="false">
      <c r="A156" s="18" t="s">
        <v>15</v>
      </c>
      <c r="B156" s="19" t="s">
        <v>16</v>
      </c>
      <c r="C156" s="6" t="s">
        <v>233</v>
      </c>
      <c r="D156" s="6" t="s">
        <v>250</v>
      </c>
      <c r="E156" s="18" t="n">
        <v>-33.907586</v>
      </c>
      <c r="F156" s="18" t="n">
        <v>24.162061</v>
      </c>
      <c r="G156" s="18" t="n">
        <v>286.7</v>
      </c>
      <c r="H156" s="18" t="s">
        <v>19</v>
      </c>
      <c r="I156" s="19" t="s">
        <v>194</v>
      </c>
      <c r="J156" s="6" t="s">
        <v>195</v>
      </c>
      <c r="K156" s="19" t="s">
        <v>208</v>
      </c>
      <c r="L156" s="18" t="s">
        <v>197</v>
      </c>
      <c r="M156" s="18" t="s">
        <v>24</v>
      </c>
      <c r="N156" s="18" t="s">
        <v>37</v>
      </c>
      <c r="O156" s="18" t="s">
        <v>87</v>
      </c>
    </row>
    <row r="157" customFormat="false" ht="14.25" hidden="false" customHeight="true" outlineLevel="0" collapsed="false">
      <c r="A157" s="18" t="s">
        <v>15</v>
      </c>
      <c r="B157" s="19" t="s">
        <v>16</v>
      </c>
      <c r="C157" s="6" t="s">
        <v>233</v>
      </c>
      <c r="D157" s="6" t="s">
        <v>251</v>
      </c>
      <c r="E157" s="18" t="n">
        <v>-33.960585</v>
      </c>
      <c r="F157" s="18" t="n">
        <v>24.370286</v>
      </c>
      <c r="G157" s="18" t="n">
        <v>183.4</v>
      </c>
      <c r="H157" s="18" t="s">
        <v>19</v>
      </c>
      <c r="I157" s="19" t="s">
        <v>201</v>
      </c>
      <c r="J157" s="6" t="s">
        <v>160</v>
      </c>
      <c r="K157" s="19" t="s">
        <v>196</v>
      </c>
      <c r="L157" s="18" t="s">
        <v>197</v>
      </c>
      <c r="M157" s="18" t="s">
        <v>24</v>
      </c>
      <c r="N157" s="18" t="s">
        <v>37</v>
      </c>
      <c r="O157" s="18" t="s">
        <v>87</v>
      </c>
    </row>
    <row r="158" customFormat="false" ht="14.25" hidden="false" customHeight="true" outlineLevel="0" collapsed="false">
      <c r="A158" s="18" t="s">
        <v>15</v>
      </c>
      <c r="B158" s="19" t="s">
        <v>16</v>
      </c>
      <c r="C158" s="6" t="s">
        <v>233</v>
      </c>
      <c r="D158" s="6" t="s">
        <v>252</v>
      </c>
      <c r="E158" s="18" t="n">
        <v>-33.960942</v>
      </c>
      <c r="F158" s="18" t="n">
        <v>24.372165</v>
      </c>
      <c r="G158" s="18" t="n">
        <v>183.4</v>
      </c>
      <c r="H158" s="18" t="s">
        <v>19</v>
      </c>
      <c r="I158" s="19" t="s">
        <v>201</v>
      </c>
      <c r="J158" s="6" t="s">
        <v>160</v>
      </c>
      <c r="K158" s="19" t="s">
        <v>196</v>
      </c>
      <c r="L158" s="18" t="s">
        <v>197</v>
      </c>
      <c r="M158" s="18" t="s">
        <v>24</v>
      </c>
      <c r="N158" s="18" t="s">
        <v>37</v>
      </c>
      <c r="O158" s="18" t="s">
        <v>87</v>
      </c>
    </row>
    <row r="159" customFormat="false" ht="14.25" hidden="false" customHeight="true" outlineLevel="0" collapsed="false">
      <c r="A159" s="18" t="s">
        <v>239</v>
      </c>
      <c r="B159" s="19" t="s">
        <v>16</v>
      </c>
      <c r="C159" s="6" t="s">
        <v>233</v>
      </c>
      <c r="D159" s="6" t="s">
        <v>253</v>
      </c>
      <c r="E159" s="18" t="n">
        <v>-33.869938</v>
      </c>
      <c r="F159" s="18" t="n">
        <v>24.022283</v>
      </c>
      <c r="G159" s="18" t="n">
        <v>389.9</v>
      </c>
      <c r="H159" s="18" t="s">
        <v>19</v>
      </c>
      <c r="I159" s="19" t="s">
        <v>218</v>
      </c>
      <c r="J159" s="6" t="s">
        <v>219</v>
      </c>
      <c r="K159" s="19" t="s">
        <v>208</v>
      </c>
      <c r="L159" s="18" t="s">
        <v>209</v>
      </c>
      <c r="M159" s="18" t="s">
        <v>24</v>
      </c>
      <c r="N159" s="18" t="s">
        <v>210</v>
      </c>
      <c r="O159" s="18" t="s">
        <v>87</v>
      </c>
    </row>
    <row r="160" customFormat="false" ht="14.25" hidden="false" customHeight="true" outlineLevel="0" collapsed="false">
      <c r="A160" s="18" t="s">
        <v>239</v>
      </c>
      <c r="B160" s="19" t="s">
        <v>16</v>
      </c>
      <c r="C160" s="6" t="s">
        <v>233</v>
      </c>
      <c r="D160" s="6" t="s">
        <v>254</v>
      </c>
      <c r="E160" s="18" t="n">
        <v>-33.877324</v>
      </c>
      <c r="F160" s="18" t="n">
        <v>24.053158</v>
      </c>
      <c r="G160" s="18" t="n">
        <v>360</v>
      </c>
      <c r="H160" s="18" t="s">
        <v>19</v>
      </c>
      <c r="I160" s="19" t="s">
        <v>218</v>
      </c>
      <c r="J160" s="6" t="s">
        <v>219</v>
      </c>
      <c r="K160" s="19" t="s">
        <v>208</v>
      </c>
      <c r="L160" s="18" t="s">
        <v>209</v>
      </c>
      <c r="M160" s="18" t="s">
        <v>24</v>
      </c>
      <c r="N160" s="18" t="s">
        <v>210</v>
      </c>
      <c r="O160" s="18" t="s">
        <v>87</v>
      </c>
    </row>
    <row r="161" customFormat="false" ht="14.25" hidden="false" customHeight="true" outlineLevel="0" collapsed="false">
      <c r="A161" s="18" t="s">
        <v>239</v>
      </c>
      <c r="B161" s="19" t="s">
        <v>16</v>
      </c>
      <c r="C161" s="6" t="s">
        <v>233</v>
      </c>
      <c r="D161" s="6" t="s">
        <v>255</v>
      </c>
      <c r="E161" s="18" t="n">
        <v>-33.877766</v>
      </c>
      <c r="F161" s="18" t="n">
        <v>24.053681</v>
      </c>
      <c r="G161" s="18" t="n">
        <v>358.2</v>
      </c>
      <c r="H161" s="18" t="s">
        <v>19</v>
      </c>
      <c r="I161" s="19" t="s">
        <v>218</v>
      </c>
      <c r="J161" s="6" t="s">
        <v>219</v>
      </c>
      <c r="K161" s="19" t="s">
        <v>208</v>
      </c>
      <c r="L161" s="18" t="s">
        <v>209</v>
      </c>
      <c r="M161" s="18" t="s">
        <v>24</v>
      </c>
      <c r="N161" s="18" t="s">
        <v>210</v>
      </c>
      <c r="O161" s="18" t="s">
        <v>87</v>
      </c>
    </row>
    <row r="162" customFormat="false" ht="14.25" hidden="false" customHeight="true" outlineLevel="0" collapsed="false">
      <c r="A162" s="18" t="s">
        <v>239</v>
      </c>
      <c r="B162" s="19" t="s">
        <v>16</v>
      </c>
      <c r="C162" s="6" t="s">
        <v>233</v>
      </c>
      <c r="D162" s="6" t="s">
        <v>256</v>
      </c>
      <c r="E162" s="18" t="n">
        <v>-33.878601</v>
      </c>
      <c r="F162" s="18" t="n">
        <v>24.054152</v>
      </c>
      <c r="G162" s="18" t="n">
        <v>360</v>
      </c>
      <c r="H162" s="18" t="s">
        <v>19</v>
      </c>
      <c r="I162" s="19" t="s">
        <v>218</v>
      </c>
      <c r="J162" s="6" t="s">
        <v>219</v>
      </c>
      <c r="K162" s="19" t="s">
        <v>208</v>
      </c>
      <c r="L162" s="18" t="s">
        <v>209</v>
      </c>
      <c r="M162" s="18" t="s">
        <v>24</v>
      </c>
      <c r="N162" s="18" t="s">
        <v>210</v>
      </c>
      <c r="O162" s="18" t="s">
        <v>87</v>
      </c>
    </row>
    <row r="163" customFormat="false" ht="14.25" hidden="false" customHeight="true" outlineLevel="0" collapsed="false">
      <c r="A163" s="18" t="s">
        <v>239</v>
      </c>
      <c r="B163" s="19" t="s">
        <v>16</v>
      </c>
      <c r="C163" s="6" t="s">
        <v>233</v>
      </c>
      <c r="D163" s="6" t="s">
        <v>257</v>
      </c>
      <c r="E163" s="18" t="n">
        <v>-33.876967</v>
      </c>
      <c r="F163" s="18" t="n">
        <v>24.054716</v>
      </c>
      <c r="G163" s="18" t="n">
        <v>360.3</v>
      </c>
      <c r="H163" s="18" t="s">
        <v>19</v>
      </c>
      <c r="I163" s="19" t="s">
        <v>218</v>
      </c>
      <c r="J163" s="6" t="s">
        <v>219</v>
      </c>
      <c r="K163" s="19" t="s">
        <v>208</v>
      </c>
      <c r="L163" s="18" t="s">
        <v>209</v>
      </c>
      <c r="M163" s="18" t="s">
        <v>24</v>
      </c>
      <c r="N163" s="18" t="s">
        <v>210</v>
      </c>
      <c r="O163" s="18" t="s">
        <v>87</v>
      </c>
    </row>
    <row r="164" customFormat="false" ht="14.25" hidden="false" customHeight="true" outlineLevel="0" collapsed="false">
      <c r="A164" s="18" t="s">
        <v>239</v>
      </c>
      <c r="B164" s="19" t="s">
        <v>16</v>
      </c>
      <c r="C164" s="6" t="s">
        <v>233</v>
      </c>
      <c r="D164" s="6" t="s">
        <v>258</v>
      </c>
      <c r="E164" s="18" t="n">
        <v>-33.877002</v>
      </c>
      <c r="F164" s="18" t="n">
        <v>24.056679</v>
      </c>
      <c r="G164" s="18" t="n">
        <v>358.4</v>
      </c>
      <c r="H164" s="18" t="s">
        <v>19</v>
      </c>
      <c r="I164" s="19" t="s">
        <v>218</v>
      </c>
      <c r="J164" s="6" t="s">
        <v>219</v>
      </c>
      <c r="K164" s="19" t="s">
        <v>208</v>
      </c>
      <c r="L164" s="18" t="s">
        <v>209</v>
      </c>
      <c r="M164" s="18" t="s">
        <v>24</v>
      </c>
      <c r="N164" s="18" t="s">
        <v>210</v>
      </c>
      <c r="O164" s="18" t="s">
        <v>87</v>
      </c>
    </row>
    <row r="165" customFormat="false" ht="14.25" hidden="false" customHeight="true" outlineLevel="0" collapsed="false">
      <c r="A165" s="18" t="s">
        <v>15</v>
      </c>
      <c r="B165" s="19" t="s">
        <v>16</v>
      </c>
      <c r="C165" s="6" t="s">
        <v>233</v>
      </c>
      <c r="D165" s="6" t="s">
        <v>259</v>
      </c>
      <c r="E165" s="18" t="n">
        <v>-33.916749</v>
      </c>
      <c r="F165" s="18" t="n">
        <v>24.195728</v>
      </c>
      <c r="G165" s="18" t="n">
        <v>263</v>
      </c>
      <c r="H165" s="18" t="s">
        <v>19</v>
      </c>
      <c r="I165" s="19" t="s">
        <v>218</v>
      </c>
      <c r="J165" s="6" t="s">
        <v>219</v>
      </c>
      <c r="K165" s="19" t="s">
        <v>208</v>
      </c>
      <c r="L165" s="18" t="s">
        <v>209</v>
      </c>
      <c r="M165" s="18" t="s">
        <v>24</v>
      </c>
      <c r="N165" s="18" t="s">
        <v>210</v>
      </c>
      <c r="O165" s="18" t="s">
        <v>87</v>
      </c>
    </row>
    <row r="166" customFormat="false" ht="14.25" hidden="false" customHeight="true" outlineLevel="0" collapsed="false">
      <c r="A166" s="18" t="s">
        <v>15</v>
      </c>
      <c r="B166" s="19" t="s">
        <v>16</v>
      </c>
      <c r="C166" s="6" t="s">
        <v>233</v>
      </c>
      <c r="D166" s="6" t="s">
        <v>260</v>
      </c>
      <c r="E166" s="18" t="n">
        <v>-33.91851</v>
      </c>
      <c r="F166" s="18" t="n">
        <v>24.205817</v>
      </c>
      <c r="G166" s="18" t="n">
        <v>262.4</v>
      </c>
      <c r="H166" s="18" t="s">
        <v>19</v>
      </c>
      <c r="I166" s="19" t="s">
        <v>218</v>
      </c>
      <c r="J166" s="6" t="s">
        <v>219</v>
      </c>
      <c r="K166" s="19" t="s">
        <v>208</v>
      </c>
      <c r="L166" s="18" t="s">
        <v>209</v>
      </c>
      <c r="M166" s="18" t="s">
        <v>24</v>
      </c>
      <c r="N166" s="18" t="s">
        <v>210</v>
      </c>
      <c r="O166" s="18" t="s">
        <v>87</v>
      </c>
    </row>
    <row r="167" customFormat="false" ht="14.25" hidden="false" customHeight="true" outlineLevel="0" collapsed="false">
      <c r="A167" s="18" t="s">
        <v>15</v>
      </c>
      <c r="B167" s="19" t="s">
        <v>16</v>
      </c>
      <c r="C167" s="6" t="s">
        <v>233</v>
      </c>
      <c r="D167" s="6" t="s">
        <v>261</v>
      </c>
      <c r="E167" s="18" t="n">
        <v>-33.919462</v>
      </c>
      <c r="F167" s="18" t="n">
        <v>24.205996</v>
      </c>
      <c r="G167" s="18" t="n">
        <v>260.2</v>
      </c>
      <c r="H167" s="18" t="s">
        <v>19</v>
      </c>
      <c r="I167" s="19" t="s">
        <v>218</v>
      </c>
      <c r="J167" s="6" t="s">
        <v>219</v>
      </c>
      <c r="K167" s="19" t="s">
        <v>208</v>
      </c>
      <c r="L167" s="18" t="s">
        <v>209</v>
      </c>
      <c r="M167" s="18" t="s">
        <v>24</v>
      </c>
      <c r="N167" s="18" t="s">
        <v>210</v>
      </c>
      <c r="O167" s="18" t="s">
        <v>87</v>
      </c>
    </row>
    <row r="168" customFormat="false" ht="14.25" hidden="false" customHeight="true" outlineLevel="0" collapsed="false">
      <c r="A168" s="18" t="s">
        <v>15</v>
      </c>
      <c r="B168" s="19" t="s">
        <v>16</v>
      </c>
      <c r="C168" s="6" t="s">
        <v>233</v>
      </c>
      <c r="D168" s="6" t="s">
        <v>262</v>
      </c>
      <c r="E168" s="18" t="n">
        <v>-33.960537</v>
      </c>
      <c r="F168" s="18" t="n">
        <v>24.367169</v>
      </c>
      <c r="G168" s="18" t="n">
        <v>182.8</v>
      </c>
      <c r="H168" s="18" t="s">
        <v>19</v>
      </c>
      <c r="I168" s="19" t="s">
        <v>218</v>
      </c>
      <c r="J168" s="6" t="s">
        <v>219</v>
      </c>
      <c r="K168" s="19" t="s">
        <v>208</v>
      </c>
      <c r="L168" s="18" t="s">
        <v>209</v>
      </c>
      <c r="M168" s="18" t="s">
        <v>24</v>
      </c>
      <c r="N168" s="18" t="s">
        <v>210</v>
      </c>
      <c r="O168" s="18" t="s">
        <v>87</v>
      </c>
    </row>
    <row r="169" customFormat="false" ht="14.25" hidden="false" customHeight="true" outlineLevel="0" collapsed="false">
      <c r="A169" s="18" t="s">
        <v>15</v>
      </c>
      <c r="B169" s="19" t="s">
        <v>16</v>
      </c>
      <c r="C169" s="6" t="s">
        <v>233</v>
      </c>
      <c r="D169" s="6" t="s">
        <v>263</v>
      </c>
      <c r="E169" s="18" t="n">
        <v>-33.959823</v>
      </c>
      <c r="F169" s="18" t="n">
        <v>24.367359</v>
      </c>
      <c r="G169" s="18" t="n">
        <v>182.8</v>
      </c>
      <c r="H169" s="18" t="s">
        <v>19</v>
      </c>
      <c r="I169" s="19" t="s">
        <v>218</v>
      </c>
      <c r="J169" s="6" t="s">
        <v>219</v>
      </c>
      <c r="K169" s="19" t="s">
        <v>208</v>
      </c>
      <c r="L169" s="18" t="s">
        <v>209</v>
      </c>
      <c r="M169" s="18" t="s">
        <v>24</v>
      </c>
      <c r="N169" s="18" t="s">
        <v>210</v>
      </c>
      <c r="O169" s="18" t="s">
        <v>87</v>
      </c>
    </row>
    <row r="170" customFormat="false" ht="14.25" hidden="false" customHeight="true" outlineLevel="0" collapsed="false">
      <c r="A170" s="18" t="s">
        <v>15</v>
      </c>
      <c r="B170" s="19" t="s">
        <v>16</v>
      </c>
      <c r="C170" s="6" t="s">
        <v>233</v>
      </c>
      <c r="D170" s="6" t="s">
        <v>264</v>
      </c>
      <c r="E170" s="18" t="n">
        <v>-33.960656</v>
      </c>
      <c r="F170" s="18" t="n">
        <v>24.369643</v>
      </c>
      <c r="G170" s="18" t="n">
        <v>184.2</v>
      </c>
      <c r="H170" s="18" t="s">
        <v>19</v>
      </c>
      <c r="I170" s="19" t="s">
        <v>218</v>
      </c>
      <c r="J170" s="6" t="s">
        <v>219</v>
      </c>
      <c r="K170" s="19" t="s">
        <v>208</v>
      </c>
      <c r="L170" s="18" t="s">
        <v>209</v>
      </c>
      <c r="M170" s="18" t="s">
        <v>24</v>
      </c>
      <c r="N170" s="18" t="s">
        <v>210</v>
      </c>
      <c r="O170" s="18" t="s">
        <v>87</v>
      </c>
    </row>
    <row r="171" customFormat="false" ht="14.25" hidden="false" customHeight="true" outlineLevel="0" collapsed="false">
      <c r="A171" s="18" t="s">
        <v>15</v>
      </c>
      <c r="B171" s="19" t="s">
        <v>16</v>
      </c>
      <c r="C171" s="6" t="s">
        <v>233</v>
      </c>
      <c r="D171" s="6" t="s">
        <v>265</v>
      </c>
      <c r="E171" s="18" t="n">
        <v>-33.961227</v>
      </c>
      <c r="F171" s="18" t="n">
        <v>24.37207</v>
      </c>
      <c r="G171" s="18" t="n">
        <v>184.8</v>
      </c>
      <c r="H171" s="18" t="s">
        <v>19</v>
      </c>
      <c r="I171" s="19" t="s">
        <v>218</v>
      </c>
      <c r="J171" s="6" t="s">
        <v>219</v>
      </c>
      <c r="K171" s="19" t="s">
        <v>208</v>
      </c>
      <c r="L171" s="18" t="s">
        <v>209</v>
      </c>
      <c r="M171" s="18" t="s">
        <v>24</v>
      </c>
      <c r="N171" s="18" t="s">
        <v>210</v>
      </c>
      <c r="O171" s="18" t="s">
        <v>87</v>
      </c>
    </row>
    <row r="172" customFormat="false" ht="14.25" hidden="false" customHeight="true" outlineLevel="0" collapsed="false">
      <c r="A172" s="18" t="s">
        <v>15</v>
      </c>
      <c r="B172" s="19" t="s">
        <v>16</v>
      </c>
      <c r="C172" s="6" t="s">
        <v>233</v>
      </c>
      <c r="D172" s="6" t="s">
        <v>266</v>
      </c>
      <c r="E172" s="18" t="n">
        <v>-33.960989</v>
      </c>
      <c r="F172" s="18" t="n">
        <v>24.372165</v>
      </c>
      <c r="G172" s="18" t="n">
        <v>183.4</v>
      </c>
      <c r="H172" s="18" t="s">
        <v>19</v>
      </c>
      <c r="I172" s="19" t="s">
        <v>218</v>
      </c>
      <c r="J172" s="6" t="s">
        <v>219</v>
      </c>
      <c r="K172" s="19" t="s">
        <v>208</v>
      </c>
      <c r="L172" s="18" t="s">
        <v>209</v>
      </c>
      <c r="M172" s="18" t="s">
        <v>24</v>
      </c>
      <c r="N172" s="18" t="s">
        <v>210</v>
      </c>
      <c r="O172" s="18" t="s">
        <v>87</v>
      </c>
    </row>
    <row r="173" customFormat="false" ht="14.25" hidden="false" customHeight="true" outlineLevel="0" collapsed="false">
      <c r="A173" s="6" t="s">
        <v>267</v>
      </c>
      <c r="B173" s="6" t="s">
        <v>268</v>
      </c>
      <c r="C173" s="6" t="s">
        <v>269</v>
      </c>
      <c r="D173" s="6" t="s">
        <v>270</v>
      </c>
      <c r="E173" s="14" t="n">
        <v>-28.26735</v>
      </c>
      <c r="F173" s="14" t="n">
        <v>32.480472</v>
      </c>
      <c r="G173" s="7"/>
      <c r="H173" s="5" t="s">
        <v>19</v>
      </c>
      <c r="I173" s="6" t="s">
        <v>271</v>
      </c>
      <c r="J173" s="5" t="s">
        <v>195</v>
      </c>
      <c r="K173" s="6" t="s">
        <v>272</v>
      </c>
      <c r="L173" s="6" t="s">
        <v>183</v>
      </c>
      <c r="M173" s="6" t="s">
        <v>273</v>
      </c>
      <c r="N173" s="6" t="s">
        <v>37</v>
      </c>
      <c r="O173" s="6" t="s">
        <v>38</v>
      </c>
    </row>
    <row r="174" customFormat="false" ht="14.25" hidden="false" customHeight="true" outlineLevel="0" collapsed="false">
      <c r="A174" s="6" t="s">
        <v>274</v>
      </c>
      <c r="B174" s="6" t="s">
        <v>268</v>
      </c>
      <c r="C174" s="6" t="s">
        <v>269</v>
      </c>
      <c r="D174" s="6" t="s">
        <v>275</v>
      </c>
      <c r="E174" s="14" t="n">
        <v>-28.17401</v>
      </c>
      <c r="F174" s="14" t="n">
        <v>32.51606</v>
      </c>
      <c r="G174" s="7"/>
      <c r="H174" s="5" t="s">
        <v>19</v>
      </c>
      <c r="I174" s="6" t="s">
        <v>271</v>
      </c>
      <c r="J174" s="5" t="s">
        <v>195</v>
      </c>
      <c r="K174" s="6" t="s">
        <v>272</v>
      </c>
      <c r="L174" s="6" t="s">
        <v>183</v>
      </c>
      <c r="M174" s="6" t="s">
        <v>273</v>
      </c>
      <c r="N174" s="6" t="s">
        <v>37</v>
      </c>
      <c r="O174" s="6" t="s">
        <v>38</v>
      </c>
    </row>
    <row r="175" customFormat="false" ht="14.25" hidden="false" customHeight="true" outlineLevel="0" collapsed="false">
      <c r="A175" s="6" t="s">
        <v>274</v>
      </c>
      <c r="B175" s="6" t="s">
        <v>268</v>
      </c>
      <c r="C175" s="6" t="s">
        <v>269</v>
      </c>
      <c r="D175" s="6" t="s">
        <v>276</v>
      </c>
      <c r="E175" s="14" t="n">
        <v>-28.11767</v>
      </c>
      <c r="F175" s="14" t="n">
        <v>32.507</v>
      </c>
      <c r="G175" s="7"/>
      <c r="H175" s="5" t="s">
        <v>19</v>
      </c>
      <c r="I175" s="6" t="s">
        <v>271</v>
      </c>
      <c r="J175" s="5" t="s">
        <v>277</v>
      </c>
      <c r="K175" s="6" t="s">
        <v>272</v>
      </c>
      <c r="L175" s="6" t="s">
        <v>183</v>
      </c>
      <c r="M175" s="6" t="s">
        <v>273</v>
      </c>
      <c r="N175" s="6" t="s">
        <v>37</v>
      </c>
      <c r="O175" s="6" t="s">
        <v>38</v>
      </c>
    </row>
    <row r="176" customFormat="false" ht="14.25" hidden="false" customHeight="true" outlineLevel="0" collapsed="false">
      <c r="A176" s="6" t="s">
        <v>278</v>
      </c>
      <c r="B176" s="6" t="s">
        <v>268</v>
      </c>
      <c r="C176" s="6" t="s">
        <v>269</v>
      </c>
      <c r="D176" s="6" t="s">
        <v>279</v>
      </c>
      <c r="E176" s="14" t="n">
        <v>-28.17358</v>
      </c>
      <c r="F176" s="14" t="n">
        <v>32.535803</v>
      </c>
      <c r="G176" s="7"/>
      <c r="H176" s="5" t="s">
        <v>19</v>
      </c>
      <c r="I176" s="6" t="s">
        <v>271</v>
      </c>
      <c r="J176" s="5" t="s">
        <v>195</v>
      </c>
      <c r="K176" s="6" t="s">
        <v>272</v>
      </c>
      <c r="L176" s="6" t="s">
        <v>183</v>
      </c>
      <c r="M176" s="6" t="s">
        <v>280</v>
      </c>
      <c r="N176" s="6" t="s">
        <v>37</v>
      </c>
      <c r="O176" s="6" t="s">
        <v>38</v>
      </c>
    </row>
    <row r="177" customFormat="false" ht="14.25" hidden="false" customHeight="true" outlineLevel="0" collapsed="false">
      <c r="A177" s="6" t="s">
        <v>278</v>
      </c>
      <c r="B177" s="6" t="s">
        <v>268</v>
      </c>
      <c r="C177" s="6" t="s">
        <v>269</v>
      </c>
      <c r="D177" s="6" t="s">
        <v>281</v>
      </c>
      <c r="E177" s="14" t="n">
        <v>-28.21999</v>
      </c>
      <c r="F177" s="14" t="n">
        <v>32.49012</v>
      </c>
      <c r="G177" s="7"/>
      <c r="H177" s="5" t="s">
        <v>19</v>
      </c>
      <c r="I177" s="6" t="s">
        <v>271</v>
      </c>
      <c r="J177" s="5" t="s">
        <v>195</v>
      </c>
      <c r="K177" s="6" t="s">
        <v>272</v>
      </c>
      <c r="L177" s="6" t="s">
        <v>183</v>
      </c>
      <c r="M177" s="6" t="s">
        <v>273</v>
      </c>
      <c r="N177" s="6" t="s">
        <v>37</v>
      </c>
      <c r="O177" s="6" t="s">
        <v>38</v>
      </c>
    </row>
    <row r="178" customFormat="false" ht="14.25" hidden="false" customHeight="true" outlineLevel="0" collapsed="false">
      <c r="A178" s="6" t="s">
        <v>282</v>
      </c>
      <c r="B178" s="6" t="s">
        <v>268</v>
      </c>
      <c r="C178" s="6" t="s">
        <v>269</v>
      </c>
      <c r="D178" s="6" t="s">
        <v>283</v>
      </c>
      <c r="E178" s="14" t="n">
        <v>-28.14432</v>
      </c>
      <c r="F178" s="14" t="n">
        <v>32.50609</v>
      </c>
      <c r="G178" s="7"/>
      <c r="H178" s="5" t="s">
        <v>19</v>
      </c>
      <c r="I178" s="6" t="s">
        <v>271</v>
      </c>
      <c r="J178" s="5" t="s">
        <v>195</v>
      </c>
      <c r="K178" s="6" t="s">
        <v>272</v>
      </c>
      <c r="L178" s="6" t="s">
        <v>183</v>
      </c>
      <c r="M178" s="6" t="s">
        <v>273</v>
      </c>
      <c r="N178" s="6" t="s">
        <v>37</v>
      </c>
      <c r="O178" s="6" t="s">
        <v>38</v>
      </c>
    </row>
    <row r="179" customFormat="false" ht="14.25" hidden="false" customHeight="true" outlineLevel="0" collapsed="false">
      <c r="A179" s="6" t="s">
        <v>282</v>
      </c>
      <c r="B179" s="6" t="s">
        <v>268</v>
      </c>
      <c r="C179" s="6" t="s">
        <v>269</v>
      </c>
      <c r="D179" s="6" t="s">
        <v>284</v>
      </c>
      <c r="E179" s="14" t="n">
        <v>-28.18136</v>
      </c>
      <c r="F179" s="14" t="n">
        <v>32.51346</v>
      </c>
      <c r="G179" s="7"/>
      <c r="H179" s="5" t="s">
        <v>19</v>
      </c>
      <c r="I179" s="6" t="s">
        <v>271</v>
      </c>
      <c r="J179" s="5" t="s">
        <v>195</v>
      </c>
      <c r="K179" s="6" t="s">
        <v>272</v>
      </c>
      <c r="L179" s="6" t="s">
        <v>183</v>
      </c>
      <c r="M179" s="6" t="s">
        <v>273</v>
      </c>
      <c r="N179" s="6" t="s">
        <v>37</v>
      </c>
      <c r="O179" s="6" t="s">
        <v>38</v>
      </c>
    </row>
    <row r="180" customFormat="false" ht="14.25" hidden="false" customHeight="true" outlineLevel="0" collapsed="false">
      <c r="A180" s="6" t="s">
        <v>274</v>
      </c>
      <c r="B180" s="6" t="s">
        <v>268</v>
      </c>
      <c r="C180" s="6" t="s">
        <v>269</v>
      </c>
      <c r="D180" s="6" t="s">
        <v>285</v>
      </c>
      <c r="E180" s="14" t="n">
        <v>-28.383027</v>
      </c>
      <c r="F180" s="14" t="n">
        <v>32.411947</v>
      </c>
      <c r="G180" s="7"/>
      <c r="H180" s="5" t="s">
        <v>33</v>
      </c>
      <c r="I180" s="6" t="s">
        <v>34</v>
      </c>
      <c r="J180" s="6" t="s">
        <v>34</v>
      </c>
      <c r="K180" s="6" t="s">
        <v>286</v>
      </c>
      <c r="L180" s="6" t="s">
        <v>287</v>
      </c>
      <c r="M180" s="6" t="s">
        <v>273</v>
      </c>
      <c r="N180" s="6" t="s">
        <v>37</v>
      </c>
      <c r="O180" s="6" t="s">
        <v>38</v>
      </c>
    </row>
    <row r="181" customFormat="false" ht="14.25" hidden="false" customHeight="true" outlineLevel="0" collapsed="false">
      <c r="A181" s="6" t="s">
        <v>268</v>
      </c>
      <c r="B181" s="6" t="s">
        <v>268</v>
      </c>
      <c r="C181" s="6" t="s">
        <v>288</v>
      </c>
      <c r="D181" s="6" t="s">
        <v>289</v>
      </c>
      <c r="E181" s="14" t="n">
        <v>-27.45294</v>
      </c>
      <c r="F181" s="14" t="n">
        <v>32.63241</v>
      </c>
      <c r="G181" s="7"/>
      <c r="H181" s="5" t="s">
        <v>19</v>
      </c>
      <c r="I181" s="6" t="s">
        <v>271</v>
      </c>
      <c r="J181" s="5" t="s">
        <v>195</v>
      </c>
      <c r="K181" s="6" t="s">
        <v>272</v>
      </c>
      <c r="L181" s="6" t="s">
        <v>183</v>
      </c>
      <c r="M181" s="6" t="s">
        <v>273</v>
      </c>
      <c r="N181" s="6" t="s">
        <v>37</v>
      </c>
      <c r="O181" s="6" t="s">
        <v>38</v>
      </c>
    </row>
    <row r="182" customFormat="false" ht="14.25" hidden="false" customHeight="true" outlineLevel="0" collapsed="false">
      <c r="A182" s="6" t="s">
        <v>268</v>
      </c>
      <c r="B182" s="6" t="s">
        <v>268</v>
      </c>
      <c r="C182" s="6" t="s">
        <v>290</v>
      </c>
      <c r="D182" s="6" t="s">
        <v>291</v>
      </c>
      <c r="E182" s="14" t="n">
        <v>-27.4095</v>
      </c>
      <c r="F182" s="14" t="n">
        <v>32.56673</v>
      </c>
      <c r="G182" s="7"/>
      <c r="H182" s="5" t="s">
        <v>19</v>
      </c>
      <c r="I182" s="6" t="s">
        <v>271</v>
      </c>
      <c r="J182" s="5" t="s">
        <v>195</v>
      </c>
      <c r="K182" s="6" t="s">
        <v>272</v>
      </c>
      <c r="L182" s="6" t="s">
        <v>183</v>
      </c>
      <c r="M182" s="6" t="s">
        <v>273</v>
      </c>
      <c r="N182" s="6" t="s">
        <v>37</v>
      </c>
      <c r="O182" s="6" t="s">
        <v>38</v>
      </c>
    </row>
    <row r="183" customFormat="false" ht="14.25" hidden="false" customHeight="true" outlineLevel="0" collapsed="false">
      <c r="A183" s="6" t="s">
        <v>268</v>
      </c>
      <c r="B183" s="6" t="s">
        <v>268</v>
      </c>
      <c r="C183" s="6" t="s">
        <v>292</v>
      </c>
      <c r="D183" s="6" t="s">
        <v>293</v>
      </c>
      <c r="E183" s="14" t="n">
        <v>-27.42265171</v>
      </c>
      <c r="F183" s="14" t="n">
        <v>32.68564718</v>
      </c>
      <c r="G183" s="7"/>
      <c r="H183" s="5" t="s">
        <v>19</v>
      </c>
      <c r="I183" s="6" t="s">
        <v>294</v>
      </c>
      <c r="J183" s="5" t="s">
        <v>181</v>
      </c>
      <c r="K183" s="6" t="s">
        <v>295</v>
      </c>
      <c r="L183" s="6" t="s">
        <v>183</v>
      </c>
      <c r="M183" s="6" t="s">
        <v>273</v>
      </c>
      <c r="N183" s="6" t="s">
        <v>37</v>
      </c>
      <c r="O183" s="6" t="s">
        <v>38</v>
      </c>
    </row>
    <row r="184" customFormat="false" ht="14.25" hidden="false" customHeight="true" outlineLevel="0" collapsed="false">
      <c r="A184" s="6" t="s">
        <v>268</v>
      </c>
      <c r="B184" s="6" t="s">
        <v>268</v>
      </c>
      <c r="C184" s="6" t="s">
        <v>292</v>
      </c>
      <c r="D184" s="6" t="s">
        <v>296</v>
      </c>
      <c r="E184" s="14" t="n">
        <v>-27.41656</v>
      </c>
      <c r="F184" s="14" t="n">
        <v>32.7094</v>
      </c>
      <c r="G184" s="7"/>
      <c r="H184" s="5" t="s">
        <v>19</v>
      </c>
      <c r="I184" s="6" t="s">
        <v>271</v>
      </c>
      <c r="J184" s="5" t="s">
        <v>195</v>
      </c>
      <c r="K184" s="6" t="s">
        <v>297</v>
      </c>
      <c r="L184" s="6" t="s">
        <v>183</v>
      </c>
      <c r="M184" s="6" t="s">
        <v>273</v>
      </c>
      <c r="N184" s="6" t="s">
        <v>37</v>
      </c>
      <c r="O184" s="6" t="s">
        <v>38</v>
      </c>
    </row>
    <row r="185" customFormat="false" ht="14.25" hidden="false" customHeight="true" outlineLevel="0" collapsed="false">
      <c r="A185" s="6" t="s">
        <v>268</v>
      </c>
      <c r="B185" s="6" t="s">
        <v>268</v>
      </c>
      <c r="C185" s="6" t="s">
        <v>292</v>
      </c>
      <c r="D185" s="6" t="s">
        <v>298</v>
      </c>
      <c r="E185" s="14" t="n">
        <v>-27.41655</v>
      </c>
      <c r="F185" s="14" t="n">
        <v>32.70939</v>
      </c>
      <c r="G185" s="7"/>
      <c r="H185" s="5" t="s">
        <v>19</v>
      </c>
      <c r="I185" s="6" t="s">
        <v>271</v>
      </c>
      <c r="J185" s="5" t="s">
        <v>195</v>
      </c>
      <c r="K185" s="6" t="s">
        <v>272</v>
      </c>
      <c r="L185" s="6" t="s">
        <v>183</v>
      </c>
      <c r="M185" s="6" t="s">
        <v>273</v>
      </c>
      <c r="N185" s="6" t="s">
        <v>37</v>
      </c>
      <c r="O185" s="6" t="s">
        <v>38</v>
      </c>
    </row>
    <row r="186" customFormat="false" ht="14.25" hidden="false" customHeight="true" outlineLevel="0" collapsed="false">
      <c r="A186" s="6" t="s">
        <v>268</v>
      </c>
      <c r="B186" s="6" t="s">
        <v>268</v>
      </c>
      <c r="C186" s="6" t="s">
        <v>292</v>
      </c>
      <c r="D186" s="6" t="s">
        <v>299</v>
      </c>
      <c r="E186" s="14" t="n">
        <v>-27.32747</v>
      </c>
      <c r="F186" s="14" t="n">
        <v>32.7107</v>
      </c>
      <c r="G186" s="6" t="n">
        <v>15.267</v>
      </c>
      <c r="H186" s="5" t="s">
        <v>19</v>
      </c>
      <c r="I186" s="6" t="s">
        <v>271</v>
      </c>
      <c r="J186" s="5" t="s">
        <v>195</v>
      </c>
      <c r="K186" s="6" t="s">
        <v>300</v>
      </c>
      <c r="L186" s="6" t="s">
        <v>183</v>
      </c>
      <c r="M186" s="6" t="s">
        <v>273</v>
      </c>
      <c r="N186" s="6" t="s">
        <v>37</v>
      </c>
      <c r="O186" s="6" t="s">
        <v>38</v>
      </c>
    </row>
    <row r="187" customFormat="false" ht="14.25" hidden="false" customHeight="true" outlineLevel="0" collapsed="false">
      <c r="A187" s="6" t="s">
        <v>268</v>
      </c>
      <c r="B187" s="6" t="s">
        <v>268</v>
      </c>
      <c r="C187" s="6" t="s">
        <v>292</v>
      </c>
      <c r="D187" s="6" t="s">
        <v>301</v>
      </c>
      <c r="E187" s="14" t="n">
        <v>-27.42091</v>
      </c>
      <c r="F187" s="14" t="n">
        <v>32.69815</v>
      </c>
      <c r="H187" s="5" t="s">
        <v>19</v>
      </c>
      <c r="I187" s="6" t="s">
        <v>271</v>
      </c>
      <c r="J187" s="5" t="s">
        <v>195</v>
      </c>
      <c r="K187" s="6" t="s">
        <v>272</v>
      </c>
      <c r="L187" s="6" t="s">
        <v>183</v>
      </c>
      <c r="M187" s="6" t="s">
        <v>273</v>
      </c>
      <c r="N187" s="6" t="s">
        <v>37</v>
      </c>
      <c r="O187" s="6" t="s">
        <v>38</v>
      </c>
    </row>
    <row r="188" customFormat="false" ht="14.25" hidden="false" customHeight="true" outlineLevel="0" collapsed="false">
      <c r="A188" s="6" t="s">
        <v>268</v>
      </c>
      <c r="B188" s="6" t="s">
        <v>268</v>
      </c>
      <c r="C188" s="6" t="s">
        <v>292</v>
      </c>
      <c r="D188" s="6" t="s">
        <v>302</v>
      </c>
      <c r="E188" s="14" t="n">
        <v>-27.42091</v>
      </c>
      <c r="F188" s="14" t="n">
        <v>32.69811</v>
      </c>
      <c r="H188" s="5" t="s">
        <v>19</v>
      </c>
      <c r="I188" s="6" t="s">
        <v>271</v>
      </c>
      <c r="J188" s="5" t="s">
        <v>195</v>
      </c>
      <c r="K188" s="6" t="s">
        <v>272</v>
      </c>
      <c r="L188" s="6" t="s">
        <v>183</v>
      </c>
      <c r="M188" s="6" t="s">
        <v>273</v>
      </c>
      <c r="N188" s="6" t="s">
        <v>37</v>
      </c>
      <c r="O188" s="6" t="s">
        <v>38</v>
      </c>
    </row>
    <row r="189" customFormat="false" ht="14.25" hidden="false" customHeight="true" outlineLevel="0" collapsed="false">
      <c r="A189" s="6" t="s">
        <v>268</v>
      </c>
      <c r="B189" s="6" t="s">
        <v>268</v>
      </c>
      <c r="C189" s="6" t="s">
        <v>292</v>
      </c>
      <c r="D189" s="6" t="s">
        <v>303</v>
      </c>
      <c r="E189" s="14" t="n">
        <v>-27.29523</v>
      </c>
      <c r="F189" s="14" t="n">
        <v>32.71206</v>
      </c>
      <c r="G189" s="6" t="n">
        <v>41.176</v>
      </c>
      <c r="H189" s="5" t="s">
        <v>19</v>
      </c>
      <c r="I189" s="6" t="s">
        <v>271</v>
      </c>
      <c r="J189" s="5" t="s">
        <v>195</v>
      </c>
      <c r="K189" s="6" t="s">
        <v>272</v>
      </c>
      <c r="L189" s="6" t="s">
        <v>183</v>
      </c>
      <c r="M189" s="6" t="s">
        <v>273</v>
      </c>
      <c r="N189" s="6" t="s">
        <v>37</v>
      </c>
      <c r="O189" s="6" t="s">
        <v>38</v>
      </c>
    </row>
    <row r="190" customFormat="false" ht="14.25" hidden="false" customHeight="true" outlineLevel="0" collapsed="false">
      <c r="A190" s="6" t="s">
        <v>268</v>
      </c>
      <c r="B190" s="6" t="s">
        <v>268</v>
      </c>
      <c r="C190" s="6" t="s">
        <v>292</v>
      </c>
      <c r="D190" s="6" t="s">
        <v>304</v>
      </c>
      <c r="E190" s="14" t="n">
        <v>-27.29526</v>
      </c>
      <c r="F190" s="14" t="n">
        <v>32.71203</v>
      </c>
      <c r="G190" s="6" t="n">
        <v>41.176</v>
      </c>
      <c r="H190" s="5" t="s">
        <v>19</v>
      </c>
      <c r="I190" s="6" t="s">
        <v>271</v>
      </c>
      <c r="J190" s="5" t="s">
        <v>195</v>
      </c>
      <c r="K190" s="6" t="s">
        <v>272</v>
      </c>
      <c r="L190" s="6" t="s">
        <v>183</v>
      </c>
      <c r="M190" s="6" t="s">
        <v>273</v>
      </c>
      <c r="N190" s="6" t="s">
        <v>37</v>
      </c>
      <c r="O190" s="6" t="s">
        <v>38</v>
      </c>
    </row>
    <row r="191" customFormat="false" ht="14.25" hidden="false" customHeight="true" outlineLevel="0" collapsed="false">
      <c r="A191" s="6" t="s">
        <v>268</v>
      </c>
      <c r="B191" s="6" t="s">
        <v>268</v>
      </c>
      <c r="C191" s="6" t="s">
        <v>292</v>
      </c>
      <c r="D191" s="6" t="s">
        <v>305</v>
      </c>
      <c r="E191" s="14" t="n">
        <v>-27.41875</v>
      </c>
      <c r="F191" s="14" t="n">
        <v>32.66628</v>
      </c>
      <c r="G191" s="6" t="n">
        <v>34.488</v>
      </c>
      <c r="H191" s="5" t="s">
        <v>19</v>
      </c>
      <c r="I191" s="6" t="s">
        <v>271</v>
      </c>
      <c r="J191" s="5" t="s">
        <v>195</v>
      </c>
      <c r="K191" s="6" t="s">
        <v>272</v>
      </c>
      <c r="L191" s="6" t="s">
        <v>183</v>
      </c>
      <c r="M191" s="6" t="s">
        <v>273</v>
      </c>
      <c r="N191" s="6" t="s">
        <v>37</v>
      </c>
      <c r="O191" s="6" t="s">
        <v>38</v>
      </c>
    </row>
    <row r="192" customFormat="false" ht="14.25" hidden="false" customHeight="true" outlineLevel="0" collapsed="false">
      <c r="A192" s="6" t="s">
        <v>268</v>
      </c>
      <c r="B192" s="6" t="s">
        <v>268</v>
      </c>
      <c r="C192" s="6" t="s">
        <v>292</v>
      </c>
      <c r="D192" s="6" t="s">
        <v>306</v>
      </c>
      <c r="E192" s="14" t="n">
        <v>-27.41813</v>
      </c>
      <c r="F192" s="14" t="n">
        <v>32.69785</v>
      </c>
      <c r="G192" s="7"/>
      <c r="H192" s="5" t="s">
        <v>19</v>
      </c>
      <c r="I192" s="6" t="s">
        <v>271</v>
      </c>
      <c r="J192" s="5" t="s">
        <v>195</v>
      </c>
      <c r="K192" s="6" t="s">
        <v>272</v>
      </c>
      <c r="L192" s="6" t="s">
        <v>183</v>
      </c>
      <c r="M192" s="6" t="s">
        <v>273</v>
      </c>
      <c r="N192" s="6" t="s">
        <v>37</v>
      </c>
      <c r="O192" s="6" t="s">
        <v>38</v>
      </c>
    </row>
    <row r="193" customFormat="false" ht="14.25" hidden="false" customHeight="true" outlineLevel="0" collapsed="false">
      <c r="A193" s="6" t="s">
        <v>268</v>
      </c>
      <c r="B193" s="6" t="s">
        <v>268</v>
      </c>
      <c r="C193" s="6" t="s">
        <v>307</v>
      </c>
      <c r="D193" s="6" t="s">
        <v>308</v>
      </c>
      <c r="E193" s="14" t="n">
        <v>-27.08733</v>
      </c>
      <c r="F193" s="14" t="n">
        <v>32.6041</v>
      </c>
      <c r="G193" s="7"/>
      <c r="H193" s="5" t="s">
        <v>19</v>
      </c>
      <c r="I193" s="6" t="s">
        <v>271</v>
      </c>
      <c r="J193" s="5" t="s">
        <v>195</v>
      </c>
      <c r="K193" s="6" t="s">
        <v>272</v>
      </c>
      <c r="L193" s="6" t="s">
        <v>183</v>
      </c>
      <c r="M193" s="6" t="s">
        <v>273</v>
      </c>
      <c r="N193" s="6" t="s">
        <v>37</v>
      </c>
      <c r="O193" s="6" t="s">
        <v>38</v>
      </c>
    </row>
    <row r="194" customFormat="false" ht="14.25" hidden="false" customHeight="true" outlineLevel="0" collapsed="false">
      <c r="A194" s="6" t="s">
        <v>268</v>
      </c>
      <c r="B194" s="6" t="s">
        <v>268</v>
      </c>
      <c r="C194" s="6" t="s">
        <v>309</v>
      </c>
      <c r="D194" s="6" t="s">
        <v>310</v>
      </c>
      <c r="E194" s="14" t="n">
        <v>-27.50457</v>
      </c>
      <c r="F194" s="14" t="n">
        <v>32.661</v>
      </c>
      <c r="G194" s="7"/>
      <c r="H194" s="5" t="s">
        <v>19</v>
      </c>
      <c r="I194" s="6" t="s">
        <v>271</v>
      </c>
      <c r="J194" s="5" t="s">
        <v>195</v>
      </c>
      <c r="K194" s="6" t="s">
        <v>272</v>
      </c>
      <c r="L194" s="6" t="s">
        <v>183</v>
      </c>
      <c r="M194" s="6" t="s">
        <v>273</v>
      </c>
      <c r="N194" s="6" t="s">
        <v>37</v>
      </c>
      <c r="O194" s="6" t="s">
        <v>38</v>
      </c>
    </row>
    <row r="195" customFormat="false" ht="14.25" hidden="false" customHeight="true" outlineLevel="0" collapsed="false">
      <c r="A195" s="6" t="s">
        <v>268</v>
      </c>
      <c r="B195" s="6" t="s">
        <v>268</v>
      </c>
      <c r="C195" s="6" t="s">
        <v>311</v>
      </c>
      <c r="D195" s="6" t="s">
        <v>312</v>
      </c>
      <c r="E195" s="14" t="n">
        <v>-27.178043</v>
      </c>
      <c r="F195" s="14" t="n">
        <v>32.718099</v>
      </c>
      <c r="G195" s="7"/>
      <c r="H195" s="5" t="s">
        <v>19</v>
      </c>
      <c r="I195" s="6" t="s">
        <v>271</v>
      </c>
      <c r="J195" s="5" t="s">
        <v>195</v>
      </c>
      <c r="K195" s="6" t="s">
        <v>272</v>
      </c>
      <c r="L195" s="6" t="s">
        <v>183</v>
      </c>
      <c r="M195" s="6" t="s">
        <v>273</v>
      </c>
      <c r="N195" s="6" t="s">
        <v>37</v>
      </c>
      <c r="O195" s="6" t="s">
        <v>38</v>
      </c>
    </row>
    <row r="196" customFormat="false" ht="14.25" hidden="false" customHeight="true" outlineLevel="0" collapsed="false">
      <c r="A196" s="6" t="s">
        <v>268</v>
      </c>
      <c r="B196" s="6" t="s">
        <v>268</v>
      </c>
      <c r="C196" s="6" t="s">
        <v>311</v>
      </c>
      <c r="D196" s="6" t="s">
        <v>313</v>
      </c>
      <c r="E196" s="14" t="n">
        <v>-27.178955</v>
      </c>
      <c r="F196" s="14" t="n">
        <v>32.719855</v>
      </c>
      <c r="G196" s="6" t="n">
        <v>51.263</v>
      </c>
      <c r="H196" s="5" t="s">
        <v>19</v>
      </c>
      <c r="I196" s="6" t="s">
        <v>271</v>
      </c>
      <c r="J196" s="5" t="s">
        <v>314</v>
      </c>
      <c r="K196" s="6" t="s">
        <v>272</v>
      </c>
      <c r="L196" s="6" t="s">
        <v>183</v>
      </c>
      <c r="M196" s="6" t="s">
        <v>273</v>
      </c>
      <c r="N196" s="6" t="s">
        <v>37</v>
      </c>
      <c r="O196" s="6" t="s">
        <v>38</v>
      </c>
    </row>
    <row r="197" customFormat="false" ht="14.25" hidden="false" customHeight="true" outlineLevel="0" collapsed="false">
      <c r="A197" s="6" t="s">
        <v>268</v>
      </c>
      <c r="B197" s="6" t="s">
        <v>268</v>
      </c>
      <c r="C197" s="6" t="s">
        <v>311</v>
      </c>
      <c r="D197" s="6" t="s">
        <v>315</v>
      </c>
      <c r="E197" s="14" t="n">
        <v>-27.16434</v>
      </c>
      <c r="F197" s="14" t="n">
        <v>32.71414</v>
      </c>
      <c r="G197" s="6"/>
      <c r="H197" s="5" t="s">
        <v>33</v>
      </c>
      <c r="I197" s="6" t="s">
        <v>294</v>
      </c>
      <c r="J197" s="5" t="s">
        <v>181</v>
      </c>
      <c r="K197" s="6" t="s">
        <v>295</v>
      </c>
      <c r="L197" s="6" t="s">
        <v>183</v>
      </c>
      <c r="M197" s="6" t="s">
        <v>273</v>
      </c>
      <c r="N197" s="6" t="s">
        <v>37</v>
      </c>
      <c r="O197" s="6" t="s">
        <v>38</v>
      </c>
    </row>
    <row r="198" customFormat="false" ht="14.25" hidden="false" customHeight="true" outlineLevel="0" collapsed="false">
      <c r="A198" s="6" t="s">
        <v>268</v>
      </c>
      <c r="B198" s="6" t="s">
        <v>268</v>
      </c>
      <c r="C198" s="6" t="s">
        <v>311</v>
      </c>
      <c r="D198" s="6" t="s">
        <v>316</v>
      </c>
      <c r="E198" s="14" t="n">
        <v>-27.162129</v>
      </c>
      <c r="F198" s="14" t="n">
        <v>32.712759</v>
      </c>
      <c r="G198" s="6" t="n">
        <v>64.809</v>
      </c>
      <c r="H198" s="5" t="s">
        <v>19</v>
      </c>
      <c r="I198" s="6" t="s">
        <v>271</v>
      </c>
      <c r="J198" s="5" t="s">
        <v>195</v>
      </c>
      <c r="K198" s="6" t="s">
        <v>272</v>
      </c>
      <c r="L198" s="6" t="s">
        <v>183</v>
      </c>
      <c r="M198" s="6" t="s">
        <v>273</v>
      </c>
      <c r="N198" s="6" t="s">
        <v>37</v>
      </c>
      <c r="O198" s="6" t="s">
        <v>38</v>
      </c>
    </row>
    <row r="199" customFormat="false" ht="14.25" hidden="false" customHeight="true" outlineLevel="0" collapsed="false">
      <c r="A199" s="6" t="s">
        <v>268</v>
      </c>
      <c r="B199" s="6" t="s">
        <v>268</v>
      </c>
      <c r="C199" s="6" t="s">
        <v>311</v>
      </c>
      <c r="D199" s="6" t="s">
        <v>317</v>
      </c>
      <c r="E199" s="14" t="n">
        <v>-27.184293</v>
      </c>
      <c r="F199" s="14" t="n">
        <v>32.705045</v>
      </c>
      <c r="G199" s="6" t="n">
        <v>51.056</v>
      </c>
      <c r="H199" s="5" t="s">
        <v>19</v>
      </c>
      <c r="I199" s="6" t="s">
        <v>271</v>
      </c>
      <c r="J199" s="5" t="s">
        <v>195</v>
      </c>
      <c r="K199" s="6" t="s">
        <v>272</v>
      </c>
      <c r="L199" s="6" t="s">
        <v>183</v>
      </c>
      <c r="M199" s="6" t="s">
        <v>273</v>
      </c>
      <c r="N199" s="6" t="s">
        <v>37</v>
      </c>
      <c r="O199" s="6" t="s">
        <v>38</v>
      </c>
    </row>
    <row r="200" customFormat="false" ht="14.25" hidden="false" customHeight="true" outlineLevel="0" collapsed="false">
      <c r="A200" s="6" t="s">
        <v>268</v>
      </c>
      <c r="B200" s="6" t="s">
        <v>268</v>
      </c>
      <c r="C200" s="6" t="s">
        <v>311</v>
      </c>
      <c r="D200" s="6" t="s">
        <v>318</v>
      </c>
      <c r="E200" s="14" t="n">
        <v>-27.184273</v>
      </c>
      <c r="F200" s="14" t="n">
        <v>32.704757</v>
      </c>
      <c r="G200" s="6" t="n">
        <v>52.185</v>
      </c>
      <c r="H200" s="5" t="s">
        <v>19</v>
      </c>
      <c r="I200" s="6" t="s">
        <v>271</v>
      </c>
      <c r="J200" s="5" t="s">
        <v>195</v>
      </c>
      <c r="K200" s="6" t="s">
        <v>272</v>
      </c>
      <c r="L200" s="6" t="s">
        <v>183</v>
      </c>
      <c r="M200" s="6" t="s">
        <v>273</v>
      </c>
      <c r="N200" s="6" t="s">
        <v>37</v>
      </c>
      <c r="O200" s="6" t="s">
        <v>38</v>
      </c>
    </row>
    <row r="201" customFormat="false" ht="14.25" hidden="false" customHeight="true" outlineLevel="0" collapsed="false">
      <c r="A201" s="6" t="s">
        <v>268</v>
      </c>
      <c r="B201" s="6" t="s">
        <v>268</v>
      </c>
      <c r="C201" s="6" t="s">
        <v>311</v>
      </c>
      <c r="D201" s="6" t="s">
        <v>319</v>
      </c>
      <c r="E201" s="14" t="n">
        <v>-27.164693</v>
      </c>
      <c r="F201" s="14" t="n">
        <v>32.713983</v>
      </c>
      <c r="G201" s="6"/>
      <c r="H201" s="5" t="s">
        <v>33</v>
      </c>
      <c r="I201" s="6" t="s">
        <v>320</v>
      </c>
      <c r="J201" s="6" t="s">
        <v>53</v>
      </c>
      <c r="K201" s="6" t="s">
        <v>321</v>
      </c>
      <c r="L201" s="6" t="s">
        <v>322</v>
      </c>
      <c r="M201" s="6" t="s">
        <v>273</v>
      </c>
      <c r="N201" s="6" t="s">
        <v>25</v>
      </c>
      <c r="O201" s="6" t="s">
        <v>323</v>
      </c>
    </row>
    <row r="202" customFormat="false" ht="14.25" hidden="false" customHeight="true" outlineLevel="0" collapsed="false">
      <c r="A202" s="6" t="s">
        <v>268</v>
      </c>
      <c r="B202" s="6" t="s">
        <v>268</v>
      </c>
      <c r="C202" s="6" t="s">
        <v>311</v>
      </c>
      <c r="D202" s="6" t="s">
        <v>324</v>
      </c>
      <c r="E202" s="14" t="n">
        <v>-27.42287</v>
      </c>
      <c r="F202" s="14" t="n">
        <v>32.68552</v>
      </c>
      <c r="G202" s="6"/>
      <c r="H202" s="5" t="s">
        <v>33</v>
      </c>
      <c r="I202" s="12" t="s">
        <v>325</v>
      </c>
      <c r="J202" s="6" t="s">
        <v>53</v>
      </c>
      <c r="K202" s="12" t="s">
        <v>326</v>
      </c>
      <c r="L202" s="6" t="s">
        <v>322</v>
      </c>
      <c r="M202" s="6" t="s">
        <v>273</v>
      </c>
      <c r="N202" s="6" t="s">
        <v>37</v>
      </c>
      <c r="O202" s="6" t="s">
        <v>38</v>
      </c>
    </row>
    <row r="203" customFormat="false" ht="14.25" hidden="false" customHeight="true" outlineLevel="0" collapsed="false">
      <c r="A203" s="6" t="s">
        <v>327</v>
      </c>
      <c r="B203" s="6" t="s">
        <v>268</v>
      </c>
      <c r="C203" s="6" t="s">
        <v>311</v>
      </c>
      <c r="D203" s="6" t="s">
        <v>328</v>
      </c>
      <c r="E203" s="14" t="n">
        <v>-27.20263</v>
      </c>
      <c r="F203" s="14" t="n">
        <v>32.62711</v>
      </c>
      <c r="G203" s="6"/>
      <c r="H203" s="5" t="s">
        <v>63</v>
      </c>
      <c r="I203" s="12" t="s">
        <v>64</v>
      </c>
      <c r="J203" s="12" t="s">
        <v>329</v>
      </c>
      <c r="K203" s="12" t="s">
        <v>66</v>
      </c>
      <c r="L203" s="6" t="s">
        <v>330</v>
      </c>
      <c r="M203" s="6" t="s">
        <v>273</v>
      </c>
      <c r="N203" s="6" t="s">
        <v>37</v>
      </c>
      <c r="O203" s="6" t="s">
        <v>38</v>
      </c>
    </row>
    <row r="204" customFormat="false" ht="14.25" hidden="false" customHeight="true" outlineLevel="0" collapsed="false">
      <c r="A204" s="6" t="s">
        <v>268</v>
      </c>
      <c r="B204" s="6" t="s">
        <v>268</v>
      </c>
      <c r="C204" s="6" t="s">
        <v>311</v>
      </c>
      <c r="D204" s="6" t="s">
        <v>331</v>
      </c>
      <c r="E204" s="14" t="n">
        <v>-27.175159</v>
      </c>
      <c r="F204" s="14" t="n">
        <v>32.716635</v>
      </c>
      <c r="G204" s="6" t="n">
        <v>53.98</v>
      </c>
      <c r="H204" s="5" t="s">
        <v>19</v>
      </c>
      <c r="I204" s="6" t="s">
        <v>271</v>
      </c>
      <c r="J204" s="5" t="s">
        <v>195</v>
      </c>
      <c r="K204" s="6" t="s">
        <v>272</v>
      </c>
      <c r="L204" s="6" t="s">
        <v>183</v>
      </c>
      <c r="M204" s="6" t="s">
        <v>273</v>
      </c>
      <c r="N204" s="6" t="s">
        <v>37</v>
      </c>
      <c r="O204" s="6" t="s">
        <v>38</v>
      </c>
    </row>
    <row r="205" customFormat="false" ht="14.25" hidden="false" customHeight="true" outlineLevel="0" collapsed="false">
      <c r="A205" s="6" t="s">
        <v>268</v>
      </c>
      <c r="B205" s="6" t="s">
        <v>268</v>
      </c>
      <c r="C205" s="6" t="s">
        <v>311</v>
      </c>
      <c r="D205" s="6" t="s">
        <v>332</v>
      </c>
      <c r="E205" s="14" t="n">
        <v>-27.175245</v>
      </c>
      <c r="F205" s="14" t="n">
        <v>32.717184</v>
      </c>
      <c r="G205" s="6" t="n">
        <v>50.778</v>
      </c>
      <c r="H205" s="5" t="s">
        <v>19</v>
      </c>
      <c r="I205" s="6" t="s">
        <v>271</v>
      </c>
      <c r="J205" s="5" t="s">
        <v>195</v>
      </c>
      <c r="K205" s="6" t="s">
        <v>272</v>
      </c>
      <c r="L205" s="6" t="s">
        <v>183</v>
      </c>
      <c r="M205" s="6" t="s">
        <v>273</v>
      </c>
      <c r="N205" s="6" t="s">
        <v>37</v>
      </c>
      <c r="O205" s="6" t="s">
        <v>38</v>
      </c>
    </row>
    <row r="206" customFormat="false" ht="14.25" hidden="false" customHeight="true" outlineLevel="0" collapsed="false">
      <c r="A206" s="6" t="s">
        <v>268</v>
      </c>
      <c r="B206" s="6" t="s">
        <v>268</v>
      </c>
      <c r="C206" s="6" t="s">
        <v>311</v>
      </c>
      <c r="D206" s="6" t="s">
        <v>333</v>
      </c>
      <c r="E206" s="14" t="n">
        <v>-27.175199</v>
      </c>
      <c r="F206" s="14" t="n">
        <v>32.716928</v>
      </c>
      <c r="G206" s="6" t="n">
        <v>51.466</v>
      </c>
      <c r="H206" s="5" t="s">
        <v>19</v>
      </c>
      <c r="I206" s="6" t="s">
        <v>271</v>
      </c>
      <c r="J206" s="5" t="s">
        <v>195</v>
      </c>
      <c r="K206" s="6" t="s">
        <v>272</v>
      </c>
      <c r="L206" s="6" t="s">
        <v>183</v>
      </c>
      <c r="M206" s="6" t="s">
        <v>273</v>
      </c>
      <c r="N206" s="6" t="s">
        <v>37</v>
      </c>
      <c r="O206" s="6" t="s">
        <v>38</v>
      </c>
    </row>
    <row r="207" customFormat="false" ht="14.25" hidden="false" customHeight="true" outlineLevel="0" collapsed="false">
      <c r="A207" s="6" t="s">
        <v>268</v>
      </c>
      <c r="B207" s="6" t="s">
        <v>268</v>
      </c>
      <c r="C207" s="6" t="s">
        <v>311</v>
      </c>
      <c r="D207" s="6" t="s">
        <v>334</v>
      </c>
      <c r="E207" s="14" t="n">
        <v>-27.261755</v>
      </c>
      <c r="F207" s="14" t="n">
        <v>32.769063</v>
      </c>
      <c r="G207" s="6"/>
      <c r="H207" s="5" t="s">
        <v>33</v>
      </c>
      <c r="I207" s="6" t="s">
        <v>34</v>
      </c>
      <c r="J207" s="6" t="s">
        <v>34</v>
      </c>
      <c r="K207" s="6" t="s">
        <v>286</v>
      </c>
      <c r="L207" s="22" t="s">
        <v>287</v>
      </c>
      <c r="M207" s="22" t="s">
        <v>273</v>
      </c>
      <c r="N207" s="22" t="s">
        <v>37</v>
      </c>
      <c r="O207" s="22" t="s">
        <v>38</v>
      </c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customFormat="false" ht="14.25" hidden="false" customHeight="true" outlineLevel="0" collapsed="false">
      <c r="A208" s="6" t="s">
        <v>268</v>
      </c>
      <c r="B208" s="6" t="s">
        <v>268</v>
      </c>
      <c r="C208" s="6" t="s">
        <v>311</v>
      </c>
      <c r="D208" s="24" t="s">
        <v>335</v>
      </c>
      <c r="E208" s="14" t="n">
        <v>-27.164086</v>
      </c>
      <c r="F208" s="14" t="n">
        <v>32.714355</v>
      </c>
      <c r="G208" s="6" t="n">
        <v>56.979</v>
      </c>
      <c r="H208" s="5" t="s">
        <v>19</v>
      </c>
      <c r="I208" s="6" t="s">
        <v>271</v>
      </c>
      <c r="J208" s="5" t="s">
        <v>195</v>
      </c>
      <c r="K208" s="6" t="s">
        <v>272</v>
      </c>
      <c r="L208" s="6" t="s">
        <v>183</v>
      </c>
      <c r="M208" s="6" t="s">
        <v>273</v>
      </c>
      <c r="N208" s="6" t="s">
        <v>37</v>
      </c>
      <c r="O208" s="6" t="s">
        <v>38</v>
      </c>
    </row>
    <row r="209" customFormat="false" ht="14.25" hidden="false" customHeight="true" outlineLevel="0" collapsed="false">
      <c r="A209" s="6" t="s">
        <v>268</v>
      </c>
      <c r="B209" s="6" t="s">
        <v>268</v>
      </c>
      <c r="C209" s="6" t="s">
        <v>311</v>
      </c>
      <c r="D209" s="6" t="s">
        <v>336</v>
      </c>
      <c r="E209" s="14" t="n">
        <v>-27.081074</v>
      </c>
      <c r="F209" s="14" t="n">
        <v>32.786989</v>
      </c>
      <c r="G209" s="7"/>
      <c r="H209" s="5" t="s">
        <v>19</v>
      </c>
      <c r="I209" s="6" t="s">
        <v>271</v>
      </c>
      <c r="J209" s="5" t="s">
        <v>195</v>
      </c>
      <c r="K209" s="6" t="s">
        <v>337</v>
      </c>
      <c r="L209" s="6" t="s">
        <v>183</v>
      </c>
      <c r="M209" s="6" t="s">
        <v>273</v>
      </c>
      <c r="N209" s="6" t="s">
        <v>37</v>
      </c>
      <c r="O209" s="6" t="s">
        <v>38</v>
      </c>
    </row>
    <row r="210" customFormat="false" ht="14.25" hidden="false" customHeight="true" outlineLevel="0" collapsed="false">
      <c r="A210" s="6" t="s">
        <v>268</v>
      </c>
      <c r="B210" s="6" t="s">
        <v>268</v>
      </c>
      <c r="C210" s="6" t="s">
        <v>311</v>
      </c>
      <c r="D210" s="6" t="s">
        <v>336</v>
      </c>
      <c r="E210" s="14" t="n">
        <v>-27.081074</v>
      </c>
      <c r="F210" s="14" t="n">
        <v>32.786989</v>
      </c>
      <c r="G210" s="7"/>
      <c r="H210" s="5" t="s">
        <v>19</v>
      </c>
      <c r="I210" s="6" t="s">
        <v>338</v>
      </c>
      <c r="J210" s="5" t="s">
        <v>339</v>
      </c>
      <c r="K210" s="6" t="s">
        <v>340</v>
      </c>
      <c r="L210" s="6" t="s">
        <v>38</v>
      </c>
      <c r="M210" s="6" t="s">
        <v>273</v>
      </c>
      <c r="N210" s="6" t="s">
        <v>37</v>
      </c>
      <c r="O210" s="6" t="s">
        <v>38</v>
      </c>
    </row>
    <row r="211" customFormat="false" ht="14.25" hidden="false" customHeight="true" outlineLevel="0" collapsed="false">
      <c r="A211" s="6" t="s">
        <v>268</v>
      </c>
      <c r="B211" s="6" t="s">
        <v>268</v>
      </c>
      <c r="C211" s="6" t="s">
        <v>311</v>
      </c>
      <c r="D211" s="6" t="s">
        <v>341</v>
      </c>
      <c r="E211" s="14" t="n">
        <v>-27.17745</v>
      </c>
      <c r="F211" s="14" t="n">
        <v>32.71494</v>
      </c>
      <c r="G211" s="7"/>
      <c r="H211" s="5" t="s">
        <v>19</v>
      </c>
      <c r="I211" s="6" t="s">
        <v>271</v>
      </c>
      <c r="J211" s="5" t="s">
        <v>195</v>
      </c>
      <c r="K211" s="6" t="s">
        <v>272</v>
      </c>
      <c r="L211" s="6" t="s">
        <v>183</v>
      </c>
      <c r="M211" s="6" t="s">
        <v>273</v>
      </c>
      <c r="N211" s="6" t="s">
        <v>37</v>
      </c>
      <c r="O211" s="6" t="s">
        <v>38</v>
      </c>
    </row>
    <row r="212" customFormat="false" ht="14.25" hidden="false" customHeight="true" outlineLevel="0" collapsed="false">
      <c r="A212" s="6" t="s">
        <v>268</v>
      </c>
      <c r="B212" s="6" t="s">
        <v>268</v>
      </c>
      <c r="C212" s="6" t="s">
        <v>311</v>
      </c>
      <c r="D212" s="6" t="s">
        <v>342</v>
      </c>
      <c r="E212" s="14" t="n">
        <v>-27.08975</v>
      </c>
      <c r="F212" s="14" t="n">
        <v>32.60189</v>
      </c>
      <c r="G212" s="7"/>
      <c r="H212" s="5" t="s">
        <v>33</v>
      </c>
      <c r="I212" s="6" t="s">
        <v>34</v>
      </c>
      <c r="J212" s="6" t="s">
        <v>34</v>
      </c>
      <c r="K212" s="6" t="s">
        <v>286</v>
      </c>
      <c r="L212" s="6" t="s">
        <v>287</v>
      </c>
      <c r="M212" s="6" t="s">
        <v>273</v>
      </c>
      <c r="N212" s="6" t="s">
        <v>37</v>
      </c>
      <c r="O212" s="6" t="s">
        <v>38</v>
      </c>
    </row>
    <row r="213" customFormat="false" ht="14.25" hidden="false" customHeight="true" outlineLevel="0" collapsed="false">
      <c r="A213" s="6" t="s">
        <v>268</v>
      </c>
      <c r="B213" s="6" t="s">
        <v>268</v>
      </c>
      <c r="C213" s="6" t="s">
        <v>311</v>
      </c>
      <c r="D213" s="6" t="s">
        <v>343</v>
      </c>
      <c r="E213" s="14" t="n">
        <v>-27.08246</v>
      </c>
      <c r="F213" s="14" t="n">
        <v>32.60189</v>
      </c>
      <c r="G213" s="7"/>
      <c r="H213" s="5" t="s">
        <v>33</v>
      </c>
      <c r="I213" s="6" t="s">
        <v>34</v>
      </c>
      <c r="J213" s="6" t="s">
        <v>34</v>
      </c>
      <c r="K213" s="6" t="s">
        <v>286</v>
      </c>
      <c r="L213" s="6" t="s">
        <v>287</v>
      </c>
      <c r="M213" s="6" t="s">
        <v>273</v>
      </c>
      <c r="N213" s="6" t="s">
        <v>37</v>
      </c>
      <c r="O213" s="6" t="s">
        <v>38</v>
      </c>
    </row>
    <row r="214" customFormat="false" ht="14.25" hidden="false" customHeight="true" outlineLevel="0" collapsed="false">
      <c r="A214" s="6" t="s">
        <v>268</v>
      </c>
      <c r="B214" s="6" t="s">
        <v>268</v>
      </c>
      <c r="C214" s="6" t="s">
        <v>311</v>
      </c>
      <c r="D214" s="6" t="s">
        <v>344</v>
      </c>
      <c r="E214" s="14" t="n">
        <v>-27.21191</v>
      </c>
      <c r="F214" s="14" t="n">
        <v>32.70944</v>
      </c>
      <c r="G214" s="7"/>
      <c r="H214" s="5" t="s">
        <v>33</v>
      </c>
      <c r="I214" s="6" t="s">
        <v>34</v>
      </c>
      <c r="J214" s="6" t="s">
        <v>34</v>
      </c>
      <c r="K214" s="6" t="s">
        <v>286</v>
      </c>
      <c r="L214" s="6" t="s">
        <v>287</v>
      </c>
      <c r="M214" s="6" t="s">
        <v>273</v>
      </c>
      <c r="N214" s="6" t="s">
        <v>37</v>
      </c>
      <c r="O214" s="6" t="s">
        <v>38</v>
      </c>
    </row>
    <row r="215" customFormat="false" ht="14.25" hidden="false" customHeight="true" outlineLevel="0" collapsed="false">
      <c r="A215" s="6" t="s">
        <v>268</v>
      </c>
      <c r="B215" s="6" t="s">
        <v>268</v>
      </c>
      <c r="C215" s="6" t="s">
        <v>311</v>
      </c>
      <c r="D215" s="6" t="s">
        <v>345</v>
      </c>
      <c r="E215" s="14" t="n">
        <v>-27.21962</v>
      </c>
      <c r="F215" s="14" t="n">
        <v>32.58525</v>
      </c>
      <c r="G215" s="7"/>
      <c r="H215" s="5" t="s">
        <v>33</v>
      </c>
      <c r="I215" s="6" t="s">
        <v>34</v>
      </c>
      <c r="J215" s="6" t="s">
        <v>34</v>
      </c>
      <c r="K215" s="6" t="s">
        <v>286</v>
      </c>
      <c r="L215" s="6" t="s">
        <v>287</v>
      </c>
      <c r="M215" s="6" t="s">
        <v>273</v>
      </c>
      <c r="N215" s="6" t="s">
        <v>37</v>
      </c>
      <c r="O215" s="6" t="s">
        <v>38</v>
      </c>
    </row>
    <row r="216" customFormat="false" ht="14.25" hidden="false" customHeight="true" outlineLevel="0" collapsed="false">
      <c r="A216" s="6" t="s">
        <v>268</v>
      </c>
      <c r="B216" s="6" t="s">
        <v>268</v>
      </c>
      <c r="C216" s="6" t="s">
        <v>311</v>
      </c>
      <c r="D216" s="6" t="s">
        <v>346</v>
      </c>
      <c r="E216" s="14" t="n">
        <v>-27.3632</v>
      </c>
      <c r="F216" s="14" t="n">
        <v>32.53601</v>
      </c>
      <c r="G216" s="7"/>
      <c r="H216" s="5" t="s">
        <v>33</v>
      </c>
      <c r="I216" s="6" t="s">
        <v>34</v>
      </c>
      <c r="J216" s="6" t="s">
        <v>34</v>
      </c>
      <c r="K216" s="6" t="s">
        <v>286</v>
      </c>
      <c r="L216" s="6" t="s">
        <v>287</v>
      </c>
      <c r="M216" s="6" t="s">
        <v>273</v>
      </c>
      <c r="N216" s="6" t="s">
        <v>37</v>
      </c>
      <c r="O216" s="6" t="s">
        <v>38</v>
      </c>
    </row>
    <row r="217" customFormat="false" ht="14.25" hidden="false" customHeight="true" outlineLevel="0" collapsed="false">
      <c r="A217" s="6" t="s">
        <v>268</v>
      </c>
      <c r="B217" s="6" t="s">
        <v>268</v>
      </c>
      <c r="C217" s="6" t="s">
        <v>347</v>
      </c>
      <c r="D217" s="6" t="s">
        <v>348</v>
      </c>
      <c r="E217" s="14" t="n">
        <v>-28.19145</v>
      </c>
      <c r="F217" s="14" t="n">
        <v>32.41883</v>
      </c>
      <c r="G217" s="7"/>
      <c r="H217" s="5" t="s">
        <v>33</v>
      </c>
      <c r="I217" s="6" t="s">
        <v>34</v>
      </c>
      <c r="J217" s="6" t="s">
        <v>34</v>
      </c>
      <c r="K217" s="6" t="s">
        <v>286</v>
      </c>
      <c r="L217" s="6" t="s">
        <v>287</v>
      </c>
      <c r="M217" s="6" t="s">
        <v>24</v>
      </c>
      <c r="N217" s="6" t="s">
        <v>37</v>
      </c>
      <c r="O217" s="6" t="s">
        <v>38</v>
      </c>
    </row>
    <row r="218" customFormat="false" ht="14.25" hidden="false" customHeight="true" outlineLevel="0" collapsed="false">
      <c r="A218" s="6" t="s">
        <v>349</v>
      </c>
      <c r="B218" s="6" t="s">
        <v>268</v>
      </c>
      <c r="C218" s="6" t="s">
        <v>347</v>
      </c>
      <c r="D218" s="6" t="s">
        <v>350</v>
      </c>
      <c r="E218" s="14" t="n">
        <v>-28.16743</v>
      </c>
      <c r="F218" s="14" t="n">
        <v>32.369063</v>
      </c>
      <c r="G218" s="7"/>
      <c r="H218" s="5" t="s">
        <v>19</v>
      </c>
      <c r="I218" s="6" t="s">
        <v>271</v>
      </c>
      <c r="J218" s="5" t="s">
        <v>195</v>
      </c>
      <c r="K218" s="6" t="s">
        <v>272</v>
      </c>
      <c r="L218" s="6" t="s">
        <v>183</v>
      </c>
      <c r="M218" s="6" t="s">
        <v>273</v>
      </c>
      <c r="N218" s="6" t="s">
        <v>37</v>
      </c>
      <c r="O218" s="6" t="s">
        <v>38</v>
      </c>
    </row>
    <row r="219" customFormat="false" ht="14.25" hidden="false" customHeight="true" outlineLevel="0" collapsed="false">
      <c r="A219" s="6" t="s">
        <v>349</v>
      </c>
      <c r="B219" s="6" t="s">
        <v>268</v>
      </c>
      <c r="C219" s="6" t="s">
        <v>347</v>
      </c>
      <c r="D219" s="6" t="s">
        <v>351</v>
      </c>
      <c r="E219" s="14" t="n">
        <v>-28.16839</v>
      </c>
      <c r="F219" s="14" t="n">
        <v>32.371807</v>
      </c>
      <c r="G219" s="7"/>
      <c r="H219" s="5" t="s">
        <v>19</v>
      </c>
      <c r="I219" s="6" t="s">
        <v>271</v>
      </c>
      <c r="J219" s="5" t="s">
        <v>195</v>
      </c>
      <c r="K219" s="6" t="s">
        <v>272</v>
      </c>
      <c r="L219" s="6" t="s">
        <v>183</v>
      </c>
      <c r="M219" s="6" t="s">
        <v>273</v>
      </c>
      <c r="N219" s="6" t="s">
        <v>37</v>
      </c>
      <c r="O219" s="6" t="s">
        <v>38</v>
      </c>
    </row>
    <row r="220" customFormat="false" ht="14.25" hidden="false" customHeight="true" outlineLevel="0" collapsed="false">
      <c r="A220" s="6" t="s">
        <v>349</v>
      </c>
      <c r="B220" s="6" t="s">
        <v>268</v>
      </c>
      <c r="C220" s="6" t="s">
        <v>347</v>
      </c>
      <c r="D220" s="6" t="s">
        <v>352</v>
      </c>
      <c r="E220" s="14" t="n">
        <v>-28.17138</v>
      </c>
      <c r="F220" s="14" t="n">
        <v>32.379655</v>
      </c>
      <c r="G220" s="7"/>
      <c r="H220" s="5" t="s">
        <v>19</v>
      </c>
      <c r="I220" s="6" t="s">
        <v>271</v>
      </c>
      <c r="J220" s="5" t="s">
        <v>195</v>
      </c>
      <c r="K220" s="6" t="s">
        <v>272</v>
      </c>
      <c r="L220" s="6" t="s">
        <v>183</v>
      </c>
      <c r="M220" s="6" t="s">
        <v>273</v>
      </c>
      <c r="N220" s="6" t="s">
        <v>37</v>
      </c>
      <c r="O220" s="6" t="s">
        <v>38</v>
      </c>
    </row>
    <row r="221" customFormat="false" ht="14.25" hidden="false" customHeight="true" outlineLevel="0" collapsed="false">
      <c r="A221" s="6" t="s">
        <v>349</v>
      </c>
      <c r="B221" s="6" t="s">
        <v>268</v>
      </c>
      <c r="C221" s="6" t="s">
        <v>347</v>
      </c>
      <c r="D221" s="6" t="s">
        <v>353</v>
      </c>
      <c r="E221" s="14" t="n">
        <v>-28.1844</v>
      </c>
      <c r="F221" s="14" t="n">
        <v>32.41243</v>
      </c>
      <c r="G221" s="7"/>
      <c r="H221" s="5" t="s">
        <v>19</v>
      </c>
      <c r="I221" s="6" t="s">
        <v>271</v>
      </c>
      <c r="J221" s="5" t="s">
        <v>195</v>
      </c>
      <c r="K221" s="6" t="s">
        <v>272</v>
      </c>
      <c r="L221" s="6" t="s">
        <v>183</v>
      </c>
      <c r="M221" s="6" t="s">
        <v>273</v>
      </c>
      <c r="N221" s="6" t="s">
        <v>37</v>
      </c>
      <c r="O221" s="6" t="s">
        <v>38</v>
      </c>
    </row>
    <row r="222" customFormat="false" ht="14.25" hidden="false" customHeight="true" outlineLevel="0" collapsed="false">
      <c r="A222" s="6" t="s">
        <v>268</v>
      </c>
      <c r="B222" s="6" t="s">
        <v>268</v>
      </c>
      <c r="C222" s="6" t="s">
        <v>354</v>
      </c>
      <c r="D222" s="6" t="s">
        <v>355</v>
      </c>
      <c r="E222" s="14" t="n">
        <v>-28.9973</v>
      </c>
      <c r="F222" s="14" t="n">
        <v>29.25392</v>
      </c>
      <c r="G222" s="6" t="n">
        <v>2023</v>
      </c>
      <c r="H222" s="5" t="s">
        <v>33</v>
      </c>
      <c r="I222" s="6" t="s">
        <v>356</v>
      </c>
      <c r="J222" s="6" t="s">
        <v>34</v>
      </c>
      <c r="K222" s="6" t="s">
        <v>286</v>
      </c>
      <c r="L222" s="6" t="s">
        <v>287</v>
      </c>
      <c r="M222" s="6" t="s">
        <v>273</v>
      </c>
      <c r="N222" s="6" t="s">
        <v>37</v>
      </c>
      <c r="O222" s="6" t="s">
        <v>38</v>
      </c>
    </row>
    <row r="223" customFormat="false" ht="14.25" hidden="false" customHeight="true" outlineLevel="0" collapsed="false">
      <c r="A223" s="6" t="s">
        <v>268</v>
      </c>
      <c r="B223" s="6" t="s">
        <v>268</v>
      </c>
      <c r="C223" s="6" t="s">
        <v>354</v>
      </c>
      <c r="D223" s="6" t="s">
        <v>357</v>
      </c>
      <c r="E223" s="14" t="n">
        <v>-28.99808</v>
      </c>
      <c r="F223" s="14" t="n">
        <v>29.26291</v>
      </c>
      <c r="G223" s="6" t="n">
        <v>1849</v>
      </c>
      <c r="H223" s="5" t="s">
        <v>33</v>
      </c>
      <c r="I223" s="6" t="s">
        <v>356</v>
      </c>
      <c r="J223" s="6" t="s">
        <v>34</v>
      </c>
      <c r="K223" s="6" t="s">
        <v>286</v>
      </c>
      <c r="L223" s="6" t="s">
        <v>287</v>
      </c>
      <c r="M223" s="6" t="s">
        <v>273</v>
      </c>
      <c r="N223" s="6" t="s">
        <v>37</v>
      </c>
      <c r="O223" s="6" t="s">
        <v>38</v>
      </c>
    </row>
    <row r="224" customFormat="false" ht="14.25" hidden="false" customHeight="true" outlineLevel="0" collapsed="false">
      <c r="A224" s="6" t="s">
        <v>268</v>
      </c>
      <c r="B224" s="6" t="s">
        <v>268</v>
      </c>
      <c r="C224" s="6" t="s">
        <v>354</v>
      </c>
      <c r="D224" s="6" t="s">
        <v>358</v>
      </c>
      <c r="E224" s="14" t="n">
        <v>-28.98141</v>
      </c>
      <c r="F224" s="14" t="n">
        <v>29.237592</v>
      </c>
      <c r="G224" s="6" t="n">
        <v>1847</v>
      </c>
      <c r="H224" s="5" t="s">
        <v>33</v>
      </c>
      <c r="I224" s="6" t="s">
        <v>356</v>
      </c>
      <c r="J224" s="6" t="s">
        <v>34</v>
      </c>
      <c r="K224" s="6" t="s">
        <v>286</v>
      </c>
      <c r="L224" s="6" t="s">
        <v>287</v>
      </c>
      <c r="M224" s="6" t="s">
        <v>273</v>
      </c>
      <c r="N224" s="6" t="s">
        <v>37</v>
      </c>
      <c r="O224" s="6" t="s">
        <v>38</v>
      </c>
    </row>
    <row r="225" customFormat="false" ht="14.25" hidden="false" customHeight="true" outlineLevel="0" collapsed="false">
      <c r="A225" s="6" t="s">
        <v>268</v>
      </c>
      <c r="B225" s="6" t="s">
        <v>268</v>
      </c>
      <c r="C225" s="6" t="s">
        <v>354</v>
      </c>
      <c r="D225" s="6" t="s">
        <v>359</v>
      </c>
      <c r="E225" s="14" t="n">
        <v>-29.00491</v>
      </c>
      <c r="F225" s="14" t="n">
        <v>29.22083</v>
      </c>
      <c r="G225" s="6" t="n">
        <v>2295</v>
      </c>
      <c r="H225" s="5" t="s">
        <v>33</v>
      </c>
      <c r="I225" s="6" t="s">
        <v>356</v>
      </c>
      <c r="J225" s="6" t="s">
        <v>34</v>
      </c>
      <c r="K225" s="6" t="s">
        <v>286</v>
      </c>
      <c r="L225" s="6" t="s">
        <v>287</v>
      </c>
      <c r="M225" s="6" t="s">
        <v>273</v>
      </c>
      <c r="N225" s="6" t="s">
        <v>37</v>
      </c>
      <c r="O225" s="6" t="s">
        <v>38</v>
      </c>
    </row>
    <row r="226" customFormat="false" ht="14.25" hidden="false" customHeight="true" outlineLevel="0" collapsed="false">
      <c r="A226" s="6" t="s">
        <v>268</v>
      </c>
      <c r="B226" s="6" t="s">
        <v>268</v>
      </c>
      <c r="C226" s="6" t="s">
        <v>354</v>
      </c>
      <c r="D226" s="6" t="s">
        <v>360</v>
      </c>
      <c r="E226" s="14" t="n">
        <v>-28.99673</v>
      </c>
      <c r="F226" s="14" t="n">
        <v>29.22262</v>
      </c>
      <c r="G226" s="6" t="n">
        <v>1977</v>
      </c>
      <c r="H226" s="5" t="s">
        <v>33</v>
      </c>
      <c r="I226" s="6" t="s">
        <v>356</v>
      </c>
      <c r="J226" s="6" t="s">
        <v>34</v>
      </c>
      <c r="K226" s="6" t="s">
        <v>286</v>
      </c>
      <c r="L226" s="6" t="s">
        <v>287</v>
      </c>
      <c r="M226" s="6" t="s">
        <v>273</v>
      </c>
      <c r="N226" s="6" t="s">
        <v>37</v>
      </c>
      <c r="O226" s="6" t="s">
        <v>38</v>
      </c>
    </row>
    <row r="227" customFormat="false" ht="14.25" hidden="false" customHeight="true" outlineLevel="0" collapsed="false">
      <c r="A227" s="6" t="s">
        <v>268</v>
      </c>
      <c r="B227" s="6" t="s">
        <v>268</v>
      </c>
      <c r="C227" s="6" t="s">
        <v>354</v>
      </c>
      <c r="D227" s="6" t="s">
        <v>361</v>
      </c>
      <c r="E227" s="14" t="n">
        <v>-28.99111</v>
      </c>
      <c r="F227" s="14" t="n">
        <v>29.22708</v>
      </c>
      <c r="G227" s="6" t="n">
        <v>1882</v>
      </c>
      <c r="H227" s="5" t="s">
        <v>33</v>
      </c>
      <c r="I227" s="6" t="s">
        <v>356</v>
      </c>
      <c r="J227" s="6" t="s">
        <v>34</v>
      </c>
      <c r="K227" s="6" t="s">
        <v>286</v>
      </c>
      <c r="L227" s="6" t="s">
        <v>287</v>
      </c>
      <c r="M227" s="6" t="s">
        <v>273</v>
      </c>
      <c r="N227" s="6" t="s">
        <v>37</v>
      </c>
      <c r="O227" s="6" t="s">
        <v>38</v>
      </c>
    </row>
    <row r="228" customFormat="false" ht="14.25" hidden="false" customHeight="true" outlineLevel="0" collapsed="false">
      <c r="A228" s="6" t="s">
        <v>268</v>
      </c>
      <c r="B228" s="6" t="s">
        <v>268</v>
      </c>
      <c r="C228" s="6" t="s">
        <v>354</v>
      </c>
      <c r="D228" s="6" t="s">
        <v>362</v>
      </c>
      <c r="E228" s="14" t="n">
        <v>-29.00471</v>
      </c>
      <c r="F228" s="14" t="n">
        <v>29.23056</v>
      </c>
      <c r="G228" s="6" t="n">
        <v>2188</v>
      </c>
      <c r="H228" s="5" t="s">
        <v>33</v>
      </c>
      <c r="I228" s="6" t="s">
        <v>356</v>
      </c>
      <c r="J228" s="6" t="s">
        <v>34</v>
      </c>
      <c r="K228" s="6" t="s">
        <v>286</v>
      </c>
      <c r="L228" s="6" t="s">
        <v>287</v>
      </c>
      <c r="M228" s="6" t="s">
        <v>273</v>
      </c>
      <c r="N228" s="6" t="s">
        <v>37</v>
      </c>
      <c r="O228" s="6" t="s">
        <v>38</v>
      </c>
    </row>
    <row r="229" customFormat="false" ht="14.25" hidden="false" customHeight="true" outlineLevel="0" collapsed="false">
      <c r="A229" s="6" t="s">
        <v>268</v>
      </c>
      <c r="B229" s="6" t="s">
        <v>268</v>
      </c>
      <c r="C229" s="6" t="s">
        <v>354</v>
      </c>
      <c r="D229" s="6" t="s">
        <v>363</v>
      </c>
      <c r="E229" s="14" t="n">
        <v>-28.99611</v>
      </c>
      <c r="F229" s="14" t="n">
        <v>29.233687</v>
      </c>
      <c r="G229" s="6" t="n">
        <v>1970</v>
      </c>
      <c r="H229" s="5" t="s">
        <v>33</v>
      </c>
      <c r="I229" s="6" t="s">
        <v>356</v>
      </c>
      <c r="J229" s="6" t="s">
        <v>34</v>
      </c>
      <c r="K229" s="6" t="s">
        <v>286</v>
      </c>
      <c r="L229" s="6" t="s">
        <v>287</v>
      </c>
      <c r="M229" s="6" t="s">
        <v>273</v>
      </c>
      <c r="N229" s="6" t="s">
        <v>37</v>
      </c>
      <c r="O229" s="6" t="s">
        <v>38</v>
      </c>
    </row>
    <row r="230" customFormat="false" ht="14.25" hidden="false" customHeight="true" outlineLevel="0" collapsed="false">
      <c r="A230" s="6" t="s">
        <v>268</v>
      </c>
      <c r="B230" s="6" t="s">
        <v>268</v>
      </c>
      <c r="C230" s="6" t="s">
        <v>354</v>
      </c>
      <c r="D230" s="6" t="s">
        <v>364</v>
      </c>
      <c r="E230" s="14" t="n">
        <v>-28.98935</v>
      </c>
      <c r="F230" s="14" t="n">
        <v>29.239195</v>
      </c>
      <c r="G230" s="6" t="n">
        <v>1866</v>
      </c>
      <c r="H230" s="5" t="s">
        <v>33</v>
      </c>
      <c r="I230" s="6" t="s">
        <v>356</v>
      </c>
      <c r="J230" s="6" t="s">
        <v>34</v>
      </c>
      <c r="K230" s="6" t="s">
        <v>286</v>
      </c>
      <c r="L230" s="6" t="s">
        <v>287</v>
      </c>
      <c r="M230" s="6" t="s">
        <v>273</v>
      </c>
      <c r="N230" s="6" t="s">
        <v>37</v>
      </c>
      <c r="O230" s="6" t="s">
        <v>38</v>
      </c>
    </row>
    <row r="231" customFormat="false" ht="14.25" hidden="false" customHeight="true" outlineLevel="0" collapsed="false">
      <c r="A231" s="6" t="s">
        <v>268</v>
      </c>
      <c r="B231" s="6" t="s">
        <v>268</v>
      </c>
      <c r="C231" s="6" t="s">
        <v>354</v>
      </c>
      <c r="D231" s="6" t="s">
        <v>365</v>
      </c>
      <c r="E231" s="14" t="n">
        <v>-29.0035</v>
      </c>
      <c r="F231" s="14" t="n">
        <v>29.23961</v>
      </c>
      <c r="G231" s="6" t="n">
        <v>2143</v>
      </c>
      <c r="H231" s="5" t="s">
        <v>33</v>
      </c>
      <c r="I231" s="6" t="s">
        <v>356</v>
      </c>
      <c r="J231" s="6" t="s">
        <v>34</v>
      </c>
      <c r="K231" s="6" t="s">
        <v>286</v>
      </c>
      <c r="L231" s="6" t="s">
        <v>287</v>
      </c>
      <c r="M231" s="6" t="s">
        <v>273</v>
      </c>
      <c r="N231" s="6" t="s">
        <v>37</v>
      </c>
      <c r="O231" s="6" t="s">
        <v>38</v>
      </c>
    </row>
    <row r="232" customFormat="false" ht="14.25" hidden="false" customHeight="true" outlineLevel="0" collapsed="false">
      <c r="A232" s="6" t="s">
        <v>268</v>
      </c>
      <c r="B232" s="6" t="s">
        <v>268</v>
      </c>
      <c r="C232" s="6" t="s">
        <v>354</v>
      </c>
      <c r="D232" s="6" t="s">
        <v>366</v>
      </c>
      <c r="E232" s="14" t="n">
        <v>-28.99846</v>
      </c>
      <c r="F232" s="14" t="n">
        <v>29.24129</v>
      </c>
      <c r="G232" s="6" t="n">
        <v>1957</v>
      </c>
      <c r="H232" s="5" t="s">
        <v>33</v>
      </c>
      <c r="I232" s="6" t="s">
        <v>356</v>
      </c>
      <c r="J232" s="6" t="s">
        <v>34</v>
      </c>
      <c r="K232" s="6" t="s">
        <v>286</v>
      </c>
      <c r="L232" s="6" t="s">
        <v>287</v>
      </c>
      <c r="M232" s="6" t="s">
        <v>273</v>
      </c>
      <c r="N232" s="6" t="s">
        <v>37</v>
      </c>
      <c r="O232" s="6" t="s">
        <v>38</v>
      </c>
    </row>
    <row r="233" customFormat="false" ht="14.25" hidden="false" customHeight="true" outlineLevel="0" collapsed="false">
      <c r="A233" s="6" t="s">
        <v>268</v>
      </c>
      <c r="B233" s="6" t="s">
        <v>268</v>
      </c>
      <c r="C233" s="6" t="s">
        <v>354</v>
      </c>
      <c r="D233" s="6" t="s">
        <v>367</v>
      </c>
      <c r="E233" s="14" t="n">
        <v>-28.99096</v>
      </c>
      <c r="F233" s="14" t="n">
        <v>29.24392</v>
      </c>
      <c r="G233" s="6" t="n">
        <v>1858</v>
      </c>
      <c r="H233" s="5" t="s">
        <v>33</v>
      </c>
      <c r="I233" s="6" t="s">
        <v>356</v>
      </c>
      <c r="J233" s="6" t="s">
        <v>34</v>
      </c>
      <c r="K233" s="6" t="s">
        <v>286</v>
      </c>
      <c r="L233" s="6" t="s">
        <v>287</v>
      </c>
      <c r="M233" s="6" t="s">
        <v>273</v>
      </c>
      <c r="N233" s="6" t="s">
        <v>37</v>
      </c>
      <c r="O233" s="6" t="s">
        <v>38</v>
      </c>
    </row>
    <row r="234" customFormat="false" ht="14.25" hidden="false" customHeight="true" outlineLevel="0" collapsed="false">
      <c r="A234" s="6" t="s">
        <v>268</v>
      </c>
      <c r="B234" s="6" t="s">
        <v>268</v>
      </c>
      <c r="C234" s="6" t="s">
        <v>354</v>
      </c>
      <c r="D234" s="6" t="s">
        <v>368</v>
      </c>
      <c r="E234" s="14" t="n">
        <v>-28.99796</v>
      </c>
      <c r="F234" s="14" t="n">
        <v>29.24816</v>
      </c>
      <c r="G234" s="6" t="n">
        <v>2063</v>
      </c>
      <c r="H234" s="5" t="s">
        <v>33</v>
      </c>
      <c r="I234" s="6" t="s">
        <v>356</v>
      </c>
      <c r="J234" s="6" t="s">
        <v>34</v>
      </c>
      <c r="K234" s="6" t="s">
        <v>286</v>
      </c>
      <c r="L234" s="6" t="s">
        <v>287</v>
      </c>
      <c r="M234" s="6" t="s">
        <v>273</v>
      </c>
      <c r="N234" s="6" t="s">
        <v>37</v>
      </c>
      <c r="O234" s="6" t="s">
        <v>38</v>
      </c>
    </row>
    <row r="235" customFormat="false" ht="14.25" hidden="false" customHeight="true" outlineLevel="0" collapsed="false">
      <c r="A235" s="6" t="s">
        <v>268</v>
      </c>
      <c r="B235" s="6" t="s">
        <v>268</v>
      </c>
      <c r="C235" s="6" t="s">
        <v>354</v>
      </c>
      <c r="D235" s="6" t="s">
        <v>369</v>
      </c>
      <c r="E235" s="14" t="n">
        <v>-28.99309</v>
      </c>
      <c r="F235" s="14" t="n">
        <v>29.25178</v>
      </c>
      <c r="G235" s="6" t="n">
        <v>1923</v>
      </c>
      <c r="H235" s="5" t="s">
        <v>33</v>
      </c>
      <c r="I235" s="6" t="s">
        <v>356</v>
      </c>
      <c r="J235" s="6" t="s">
        <v>34</v>
      </c>
      <c r="K235" s="6" t="s">
        <v>286</v>
      </c>
      <c r="L235" s="6" t="s">
        <v>287</v>
      </c>
      <c r="M235" s="6" t="s">
        <v>273</v>
      </c>
      <c r="N235" s="6" t="s">
        <v>37</v>
      </c>
      <c r="O235" s="6" t="s">
        <v>38</v>
      </c>
    </row>
    <row r="236" customFormat="false" ht="14.25" hidden="false" customHeight="true" outlineLevel="0" collapsed="false">
      <c r="A236" s="6" t="s">
        <v>268</v>
      </c>
      <c r="B236" s="6" t="s">
        <v>268</v>
      </c>
      <c r="C236" s="6" t="s">
        <v>354</v>
      </c>
      <c r="D236" s="6" t="s">
        <v>370</v>
      </c>
      <c r="E236" s="14" t="n">
        <v>-28.99311</v>
      </c>
      <c r="F236" s="14" t="n">
        <v>29.25656</v>
      </c>
      <c r="G236" s="6" t="n">
        <v>1980</v>
      </c>
      <c r="H236" s="5" t="s">
        <v>33</v>
      </c>
      <c r="I236" s="6" t="s">
        <v>356</v>
      </c>
      <c r="J236" s="6" t="s">
        <v>34</v>
      </c>
      <c r="K236" s="6" t="s">
        <v>286</v>
      </c>
      <c r="L236" s="6" t="s">
        <v>287</v>
      </c>
      <c r="M236" s="6" t="s">
        <v>273</v>
      </c>
      <c r="N236" s="6" t="s">
        <v>37</v>
      </c>
      <c r="O236" s="6" t="s">
        <v>38</v>
      </c>
    </row>
    <row r="237" customFormat="false" ht="14.25" hidden="false" customHeight="true" outlineLevel="0" collapsed="false">
      <c r="A237" s="6" t="s">
        <v>268</v>
      </c>
      <c r="B237" s="6" t="s">
        <v>268</v>
      </c>
      <c r="C237" s="6" t="s">
        <v>354</v>
      </c>
      <c r="D237" s="6" t="s">
        <v>39</v>
      </c>
      <c r="E237" s="14" t="n">
        <v>-28.99006</v>
      </c>
      <c r="F237" s="14" t="n">
        <v>29.25682</v>
      </c>
      <c r="G237" s="6" t="n">
        <v>1916</v>
      </c>
      <c r="H237" s="5" t="s">
        <v>33</v>
      </c>
      <c r="I237" s="6" t="s">
        <v>356</v>
      </c>
      <c r="J237" s="6" t="s">
        <v>34</v>
      </c>
      <c r="K237" s="6" t="s">
        <v>286</v>
      </c>
      <c r="L237" s="6" t="s">
        <v>287</v>
      </c>
      <c r="M237" s="6" t="s">
        <v>273</v>
      </c>
      <c r="N237" s="6" t="s">
        <v>37</v>
      </c>
      <c r="O237" s="6" t="s">
        <v>38</v>
      </c>
    </row>
    <row r="238" customFormat="false" ht="14.25" hidden="false" customHeight="true" outlineLevel="0" collapsed="false">
      <c r="A238" s="6" t="s">
        <v>268</v>
      </c>
      <c r="B238" s="6" t="s">
        <v>268</v>
      </c>
      <c r="C238" s="6" t="s">
        <v>354</v>
      </c>
      <c r="D238" s="6" t="s">
        <v>371</v>
      </c>
      <c r="E238" s="14" t="n">
        <v>-28.98786</v>
      </c>
      <c r="F238" s="14" t="n">
        <v>29.25231</v>
      </c>
      <c r="G238" s="6" t="n">
        <v>1854</v>
      </c>
      <c r="H238" s="5" t="s">
        <v>33</v>
      </c>
      <c r="I238" s="6" t="s">
        <v>356</v>
      </c>
      <c r="J238" s="6" t="s">
        <v>34</v>
      </c>
      <c r="K238" s="6" t="s">
        <v>286</v>
      </c>
      <c r="L238" s="6" t="s">
        <v>287</v>
      </c>
      <c r="M238" s="6" t="s">
        <v>273</v>
      </c>
      <c r="N238" s="6" t="s">
        <v>37</v>
      </c>
      <c r="O238" s="6" t="s">
        <v>38</v>
      </c>
    </row>
    <row r="239" customFormat="false" ht="14.25" hidden="false" customHeight="true" outlineLevel="0" collapsed="false">
      <c r="A239" s="6" t="s">
        <v>268</v>
      </c>
      <c r="B239" s="6" t="s">
        <v>268</v>
      </c>
      <c r="C239" s="6" t="s">
        <v>354</v>
      </c>
      <c r="D239" s="6" t="s">
        <v>372</v>
      </c>
      <c r="E239" s="14" t="n">
        <v>-28.98293</v>
      </c>
      <c r="F239" s="14" t="n">
        <v>29.261985</v>
      </c>
      <c r="G239" s="6" t="n">
        <v>1921</v>
      </c>
      <c r="H239" s="5" t="s">
        <v>33</v>
      </c>
      <c r="I239" s="6" t="s">
        <v>356</v>
      </c>
      <c r="J239" s="6" t="s">
        <v>34</v>
      </c>
      <c r="K239" s="6" t="s">
        <v>286</v>
      </c>
      <c r="L239" s="6" t="s">
        <v>287</v>
      </c>
      <c r="M239" s="6" t="s">
        <v>273</v>
      </c>
      <c r="N239" s="6" t="s">
        <v>37</v>
      </c>
      <c r="O239" s="6" t="s">
        <v>38</v>
      </c>
    </row>
    <row r="240" customFormat="false" ht="14.25" hidden="false" customHeight="true" outlineLevel="0" collapsed="false">
      <c r="A240" s="6" t="s">
        <v>268</v>
      </c>
      <c r="B240" s="6" t="s">
        <v>268</v>
      </c>
      <c r="C240" s="6" t="s">
        <v>354</v>
      </c>
      <c r="D240" s="6" t="s">
        <v>373</v>
      </c>
      <c r="E240" s="14" t="n">
        <v>-28.98444</v>
      </c>
      <c r="F240" s="14" t="n">
        <v>29.267869</v>
      </c>
      <c r="G240" s="6" t="n">
        <v>1888</v>
      </c>
      <c r="H240" s="5" t="s">
        <v>33</v>
      </c>
      <c r="I240" s="6" t="s">
        <v>356</v>
      </c>
      <c r="J240" s="6" t="s">
        <v>34</v>
      </c>
      <c r="K240" s="6" t="s">
        <v>286</v>
      </c>
      <c r="L240" s="6" t="s">
        <v>287</v>
      </c>
      <c r="M240" s="6" t="s">
        <v>273</v>
      </c>
      <c r="N240" s="6" t="s">
        <v>37</v>
      </c>
      <c r="O240" s="6" t="s">
        <v>38</v>
      </c>
    </row>
    <row r="241" customFormat="false" ht="14.25" hidden="false" customHeight="true" outlineLevel="0" collapsed="false">
      <c r="A241" s="6" t="s">
        <v>268</v>
      </c>
      <c r="B241" s="6" t="s">
        <v>268</v>
      </c>
      <c r="C241" s="6" t="s">
        <v>354</v>
      </c>
      <c r="D241" s="6" t="s">
        <v>374</v>
      </c>
      <c r="E241" s="14" t="n">
        <v>-28.99122</v>
      </c>
      <c r="F241" s="14" t="n">
        <v>29.262878</v>
      </c>
      <c r="G241" s="6" t="n">
        <v>1966</v>
      </c>
      <c r="H241" s="5" t="s">
        <v>33</v>
      </c>
      <c r="I241" s="6" t="s">
        <v>356</v>
      </c>
      <c r="J241" s="6" t="s">
        <v>34</v>
      </c>
      <c r="K241" s="6" t="s">
        <v>286</v>
      </c>
      <c r="L241" s="6" t="s">
        <v>287</v>
      </c>
      <c r="M241" s="6" t="s">
        <v>273</v>
      </c>
      <c r="N241" s="6" t="s">
        <v>37</v>
      </c>
      <c r="O241" s="6" t="s">
        <v>38</v>
      </c>
    </row>
    <row r="242" customFormat="false" ht="14.25" hidden="false" customHeight="true" outlineLevel="0" collapsed="false">
      <c r="A242" s="6" t="s">
        <v>268</v>
      </c>
      <c r="B242" s="6" t="s">
        <v>268</v>
      </c>
      <c r="C242" s="6" t="s">
        <v>354</v>
      </c>
      <c r="D242" s="6" t="s">
        <v>41</v>
      </c>
      <c r="E242" s="14" t="n">
        <v>-28.99088</v>
      </c>
      <c r="F242" s="14" t="n">
        <v>29.26621</v>
      </c>
      <c r="G242" s="6" t="n">
        <v>1900</v>
      </c>
      <c r="H242" s="5" t="s">
        <v>33</v>
      </c>
      <c r="I242" s="6" t="s">
        <v>356</v>
      </c>
      <c r="J242" s="6" t="s">
        <v>34</v>
      </c>
      <c r="K242" s="6" t="s">
        <v>286</v>
      </c>
      <c r="L242" s="6" t="s">
        <v>287</v>
      </c>
      <c r="M242" s="6" t="s">
        <v>273</v>
      </c>
      <c r="N242" s="6" t="s">
        <v>37</v>
      </c>
      <c r="O242" s="6" t="s">
        <v>38</v>
      </c>
    </row>
    <row r="243" customFormat="false" ht="14.25" hidden="false" customHeight="true" outlineLevel="0" collapsed="false">
      <c r="A243" s="6" t="s">
        <v>268</v>
      </c>
      <c r="B243" s="6" t="s">
        <v>268</v>
      </c>
      <c r="C243" s="6" t="s">
        <v>354</v>
      </c>
      <c r="D243" s="6" t="s">
        <v>375</v>
      </c>
      <c r="E243" s="14" t="n">
        <v>-28.99171</v>
      </c>
      <c r="F243" s="14" t="n">
        <v>29.273009</v>
      </c>
      <c r="G243" s="6" t="n">
        <v>1830</v>
      </c>
      <c r="H243" s="5" t="s">
        <v>33</v>
      </c>
      <c r="I243" s="6" t="s">
        <v>356</v>
      </c>
      <c r="J243" s="6" t="s">
        <v>34</v>
      </c>
      <c r="K243" s="6" t="s">
        <v>286</v>
      </c>
      <c r="L243" s="6" t="s">
        <v>287</v>
      </c>
      <c r="M243" s="6" t="s">
        <v>273</v>
      </c>
      <c r="N243" s="6" t="s">
        <v>37</v>
      </c>
      <c r="O243" s="6" t="s">
        <v>38</v>
      </c>
    </row>
    <row r="244" customFormat="false" ht="14.25" hidden="false" customHeight="true" outlineLevel="0" collapsed="false">
      <c r="A244" s="6" t="s">
        <v>268</v>
      </c>
      <c r="B244" s="6" t="s">
        <v>268</v>
      </c>
      <c r="C244" s="6" t="s">
        <v>354</v>
      </c>
      <c r="D244" s="6" t="s">
        <v>376</v>
      </c>
      <c r="E244" s="14" t="n">
        <v>-28.688078</v>
      </c>
      <c r="F244" s="14" t="n">
        <v>29.132368</v>
      </c>
      <c r="G244" s="6" t="n">
        <v>1222</v>
      </c>
      <c r="H244" s="5" t="s">
        <v>33</v>
      </c>
      <c r="I244" s="6" t="s">
        <v>377</v>
      </c>
      <c r="J244" s="6" t="s">
        <v>378</v>
      </c>
      <c r="K244" s="6" t="s">
        <v>379</v>
      </c>
      <c r="L244" s="6" t="s">
        <v>183</v>
      </c>
      <c r="M244" s="6" t="s">
        <v>273</v>
      </c>
      <c r="N244" s="6" t="s">
        <v>37</v>
      </c>
      <c r="O244" s="6" t="s">
        <v>38</v>
      </c>
    </row>
    <row r="245" customFormat="false" ht="14.25" hidden="false" customHeight="true" outlineLevel="0" collapsed="false">
      <c r="A245" s="6" t="s">
        <v>380</v>
      </c>
      <c r="B245" s="6" t="s">
        <v>268</v>
      </c>
      <c r="C245" s="6" t="s">
        <v>354</v>
      </c>
      <c r="D245" s="6" t="s">
        <v>381</v>
      </c>
      <c r="E245" s="14" t="n">
        <v>-28.994639</v>
      </c>
      <c r="F245" s="14" t="n">
        <v>29.233972</v>
      </c>
      <c r="G245" s="6" t="n">
        <v>1969</v>
      </c>
      <c r="H245" s="6" t="s">
        <v>19</v>
      </c>
      <c r="I245" s="6" t="s">
        <v>382</v>
      </c>
      <c r="J245" s="6" t="s">
        <v>383</v>
      </c>
      <c r="K245" s="6" t="s">
        <v>384</v>
      </c>
      <c r="L245" s="6" t="s">
        <v>79</v>
      </c>
      <c r="M245" s="6" t="s">
        <v>273</v>
      </c>
      <c r="N245" s="6" t="s">
        <v>37</v>
      </c>
      <c r="O245" s="6" t="s">
        <v>38</v>
      </c>
    </row>
    <row r="246" customFormat="false" ht="14.25" hidden="false" customHeight="true" outlineLevel="0" collapsed="false">
      <c r="A246" s="6" t="s">
        <v>385</v>
      </c>
      <c r="B246" s="6" t="s">
        <v>268</v>
      </c>
      <c r="C246" s="6" t="s">
        <v>354</v>
      </c>
      <c r="D246" s="6" t="s">
        <v>386</v>
      </c>
      <c r="E246" s="14" t="n">
        <v>-28.99356</v>
      </c>
      <c r="F246" s="14" t="n">
        <v>29.251841</v>
      </c>
      <c r="G246" s="6" t="n">
        <v>1932</v>
      </c>
      <c r="H246" s="6" t="s">
        <v>19</v>
      </c>
      <c r="I246" s="6" t="s">
        <v>382</v>
      </c>
      <c r="J246" s="6" t="s">
        <v>383</v>
      </c>
      <c r="K246" s="6" t="s">
        <v>387</v>
      </c>
      <c r="L246" s="6" t="s">
        <v>79</v>
      </c>
      <c r="M246" s="6" t="s">
        <v>273</v>
      </c>
      <c r="N246" s="6" t="s">
        <v>37</v>
      </c>
      <c r="O246" s="6" t="s">
        <v>38</v>
      </c>
    </row>
    <row r="247" customFormat="false" ht="14.25" hidden="false" customHeight="true" outlineLevel="0" collapsed="false">
      <c r="A247" s="6" t="s">
        <v>380</v>
      </c>
      <c r="B247" s="6" t="s">
        <v>268</v>
      </c>
      <c r="C247" s="6" t="s">
        <v>354</v>
      </c>
      <c r="D247" s="6" t="s">
        <v>388</v>
      </c>
      <c r="E247" s="14" t="n">
        <v>-28.990881</v>
      </c>
      <c r="F247" s="14" t="n">
        <v>29.266019</v>
      </c>
      <c r="G247" s="6" t="n">
        <v>1902</v>
      </c>
      <c r="H247" s="5" t="s">
        <v>33</v>
      </c>
      <c r="I247" s="6" t="s">
        <v>389</v>
      </c>
      <c r="J247" s="6" t="s">
        <v>378</v>
      </c>
      <c r="K247" s="6" t="s">
        <v>390</v>
      </c>
      <c r="L247" s="6" t="s">
        <v>322</v>
      </c>
      <c r="M247" s="6" t="s">
        <v>273</v>
      </c>
      <c r="N247" s="6" t="s">
        <v>37</v>
      </c>
      <c r="O247" s="6" t="s">
        <v>38</v>
      </c>
    </row>
    <row r="248" customFormat="false" ht="14.25" hidden="false" customHeight="true" outlineLevel="0" collapsed="false">
      <c r="A248" s="6" t="s">
        <v>380</v>
      </c>
      <c r="B248" s="6" t="s">
        <v>268</v>
      </c>
      <c r="C248" s="6" t="s">
        <v>354</v>
      </c>
      <c r="D248" s="6" t="s">
        <v>391</v>
      </c>
      <c r="E248" s="14" t="n">
        <v>-28.990703</v>
      </c>
      <c r="F248" s="14" t="n">
        <v>29.265611</v>
      </c>
      <c r="G248" s="6" t="n">
        <v>1909</v>
      </c>
      <c r="H248" s="6" t="s">
        <v>19</v>
      </c>
      <c r="I248" s="6" t="s">
        <v>382</v>
      </c>
      <c r="J248" s="6" t="s">
        <v>383</v>
      </c>
      <c r="K248" s="6" t="s">
        <v>384</v>
      </c>
      <c r="L248" s="6" t="s">
        <v>79</v>
      </c>
      <c r="M248" s="6" t="s">
        <v>273</v>
      </c>
      <c r="N248" s="6" t="s">
        <v>37</v>
      </c>
      <c r="O248" s="6" t="s">
        <v>38</v>
      </c>
    </row>
    <row r="249" customFormat="false" ht="14.25" hidden="false" customHeight="true" outlineLevel="0" collapsed="false">
      <c r="A249" s="6" t="s">
        <v>392</v>
      </c>
      <c r="B249" s="6" t="s">
        <v>268</v>
      </c>
      <c r="C249" s="6" t="s">
        <v>354</v>
      </c>
      <c r="D249" s="6" t="s">
        <v>393</v>
      </c>
      <c r="E249" s="14" t="n">
        <v>-28.99313</v>
      </c>
      <c r="F249" s="14" t="n">
        <v>29.251774</v>
      </c>
      <c r="G249" s="6" t="n">
        <v>1922</v>
      </c>
      <c r="H249" s="6" t="s">
        <v>19</v>
      </c>
      <c r="I249" s="6" t="s">
        <v>394</v>
      </c>
      <c r="J249" s="6" t="s">
        <v>395</v>
      </c>
      <c r="K249" s="6" t="s">
        <v>387</v>
      </c>
      <c r="L249" s="6" t="s">
        <v>396</v>
      </c>
      <c r="M249" s="6" t="s">
        <v>273</v>
      </c>
      <c r="N249" s="6" t="s">
        <v>37</v>
      </c>
      <c r="O249" s="6" t="s">
        <v>38</v>
      </c>
    </row>
    <row r="250" customFormat="false" ht="14.25" hidden="false" customHeight="true" outlineLevel="0" collapsed="false">
      <c r="A250" s="6" t="s">
        <v>268</v>
      </c>
      <c r="B250" s="6" t="s">
        <v>268</v>
      </c>
      <c r="C250" s="6" t="s">
        <v>354</v>
      </c>
      <c r="D250" s="6" t="s">
        <v>397</v>
      </c>
      <c r="E250" s="14" t="n">
        <v>-28.975583</v>
      </c>
      <c r="F250" s="14" t="n">
        <v>29.235787</v>
      </c>
      <c r="G250" s="6" t="n">
        <v>1860</v>
      </c>
      <c r="H250" s="5" t="s">
        <v>33</v>
      </c>
      <c r="I250" s="6" t="s">
        <v>356</v>
      </c>
      <c r="J250" s="6" t="s">
        <v>34</v>
      </c>
      <c r="K250" s="6" t="s">
        <v>286</v>
      </c>
      <c r="L250" s="6" t="s">
        <v>287</v>
      </c>
      <c r="M250" s="6" t="s">
        <v>273</v>
      </c>
      <c r="N250" s="6" t="s">
        <v>37</v>
      </c>
      <c r="O250" s="6" t="s">
        <v>38</v>
      </c>
    </row>
    <row r="251" customFormat="false" ht="14.25" hidden="false" customHeight="true" outlineLevel="0" collapsed="false">
      <c r="A251" s="6" t="s">
        <v>385</v>
      </c>
      <c r="B251" s="6" t="s">
        <v>268</v>
      </c>
      <c r="C251" s="6" t="s">
        <v>354</v>
      </c>
      <c r="D251" s="6" t="s">
        <v>398</v>
      </c>
      <c r="E251" s="14" t="n">
        <v>-28.99356</v>
      </c>
      <c r="F251" s="14" t="n">
        <v>29.251841</v>
      </c>
      <c r="G251" s="6" t="n">
        <v>1935</v>
      </c>
      <c r="H251" s="5" t="s">
        <v>63</v>
      </c>
      <c r="I251" s="12" t="s">
        <v>64</v>
      </c>
      <c r="J251" s="12" t="s">
        <v>329</v>
      </c>
      <c r="K251" s="12" t="s">
        <v>399</v>
      </c>
      <c r="L251" s="6" t="s">
        <v>330</v>
      </c>
      <c r="M251" s="6" t="s">
        <v>273</v>
      </c>
      <c r="N251" s="6" t="s">
        <v>37</v>
      </c>
      <c r="O251" s="6" t="s">
        <v>38</v>
      </c>
    </row>
    <row r="252" customFormat="false" ht="14.25" hidden="false" customHeight="true" outlineLevel="0" collapsed="false">
      <c r="A252" s="6" t="s">
        <v>385</v>
      </c>
      <c r="B252" s="6" t="s">
        <v>268</v>
      </c>
      <c r="C252" s="6" t="s">
        <v>354</v>
      </c>
      <c r="D252" s="6" t="s">
        <v>400</v>
      </c>
      <c r="E252" s="14" t="n">
        <v>-28.975583</v>
      </c>
      <c r="F252" s="14" t="n">
        <v>29.235787</v>
      </c>
      <c r="G252" s="6" t="n">
        <v>1860</v>
      </c>
      <c r="H252" s="5" t="s">
        <v>33</v>
      </c>
      <c r="I252" s="6" t="s">
        <v>356</v>
      </c>
      <c r="J252" s="6" t="s">
        <v>34</v>
      </c>
      <c r="K252" s="6" t="s">
        <v>286</v>
      </c>
      <c r="L252" s="6" t="s">
        <v>287</v>
      </c>
      <c r="M252" s="6" t="s">
        <v>273</v>
      </c>
      <c r="N252" s="6" t="s">
        <v>37</v>
      </c>
      <c r="O252" s="6" t="s">
        <v>38</v>
      </c>
    </row>
    <row r="253" customFormat="false" ht="14.25" hidden="false" customHeight="true" outlineLevel="0" collapsed="false">
      <c r="A253" s="6" t="s">
        <v>268</v>
      </c>
      <c r="B253" s="6" t="s">
        <v>268</v>
      </c>
      <c r="C253" s="6" t="s">
        <v>354</v>
      </c>
      <c r="D253" s="6" t="s">
        <v>401</v>
      </c>
      <c r="E253" s="14" t="n">
        <v>-29.067001</v>
      </c>
      <c r="F253" s="14" t="n">
        <v>29.322132</v>
      </c>
      <c r="G253" s="6" t="n">
        <v>3010</v>
      </c>
      <c r="H253" s="5" t="s">
        <v>33</v>
      </c>
      <c r="I253" s="6" t="s">
        <v>402</v>
      </c>
      <c r="J253" s="6" t="s">
        <v>378</v>
      </c>
      <c r="K253" s="6" t="s">
        <v>403</v>
      </c>
      <c r="L253" s="6" t="s">
        <v>322</v>
      </c>
      <c r="M253" s="6" t="s">
        <v>273</v>
      </c>
      <c r="N253" s="6" t="s">
        <v>25</v>
      </c>
      <c r="O253" s="6" t="s">
        <v>323</v>
      </c>
    </row>
    <row r="254" customFormat="false" ht="14.25" hidden="false" customHeight="true" outlineLevel="0" collapsed="false">
      <c r="A254" s="6" t="s">
        <v>268</v>
      </c>
      <c r="B254" s="6" t="s">
        <v>268</v>
      </c>
      <c r="C254" s="6" t="s">
        <v>354</v>
      </c>
      <c r="D254" s="6" t="s">
        <v>404</v>
      </c>
      <c r="E254" s="25" t="n">
        <v>-28.990896</v>
      </c>
      <c r="F254" s="25" t="n">
        <v>29.253782</v>
      </c>
      <c r="G254" s="6" t="n">
        <v>1922</v>
      </c>
      <c r="H254" s="5" t="s">
        <v>33</v>
      </c>
      <c r="I254" s="6" t="s">
        <v>356</v>
      </c>
      <c r="J254" s="6" t="s">
        <v>34</v>
      </c>
      <c r="K254" s="6" t="s">
        <v>286</v>
      </c>
      <c r="L254" s="6" t="s">
        <v>287</v>
      </c>
      <c r="M254" s="6" t="s">
        <v>273</v>
      </c>
      <c r="N254" s="6" t="s">
        <v>37</v>
      </c>
      <c r="O254" s="6" t="s">
        <v>38</v>
      </c>
    </row>
    <row r="255" customFormat="false" ht="14.25" hidden="false" customHeight="true" outlineLevel="0" collapsed="false">
      <c r="A255" s="6" t="s">
        <v>268</v>
      </c>
      <c r="B255" s="6" t="s">
        <v>268</v>
      </c>
      <c r="C255" s="6" t="s">
        <v>354</v>
      </c>
      <c r="D255" s="6" t="s">
        <v>405</v>
      </c>
      <c r="E255" s="14" t="n">
        <v>-28.993675</v>
      </c>
      <c r="F255" s="14" t="n">
        <v>29.251896</v>
      </c>
      <c r="G255" s="6" t="n">
        <v>1935</v>
      </c>
      <c r="H255" s="5" t="s">
        <v>63</v>
      </c>
      <c r="I255" s="6" t="s">
        <v>406</v>
      </c>
      <c r="J255" s="6" t="s">
        <v>407</v>
      </c>
      <c r="K255" s="6" t="s">
        <v>408</v>
      </c>
      <c r="L255" s="6" t="s">
        <v>409</v>
      </c>
      <c r="M255" s="6" t="s">
        <v>273</v>
      </c>
      <c r="N255" s="6" t="s">
        <v>37</v>
      </c>
      <c r="O255" s="6" t="s">
        <v>38</v>
      </c>
    </row>
    <row r="256" customFormat="false" ht="14.25" hidden="false" customHeight="true" outlineLevel="0" collapsed="false">
      <c r="A256" s="6" t="s">
        <v>268</v>
      </c>
      <c r="B256" s="6" t="s">
        <v>268</v>
      </c>
      <c r="C256" s="6" t="s">
        <v>354</v>
      </c>
      <c r="D256" s="6" t="s">
        <v>410</v>
      </c>
      <c r="E256" s="14" t="n">
        <v>-28.975583</v>
      </c>
      <c r="F256" s="14" t="n">
        <v>29.235787</v>
      </c>
      <c r="G256" s="6" t="n">
        <v>1860</v>
      </c>
      <c r="H256" s="5" t="s">
        <v>33</v>
      </c>
      <c r="I256" s="6" t="s">
        <v>356</v>
      </c>
      <c r="J256" s="6" t="s">
        <v>34</v>
      </c>
      <c r="K256" s="6" t="s">
        <v>286</v>
      </c>
      <c r="L256" s="6" t="s">
        <v>287</v>
      </c>
      <c r="M256" s="6" t="s">
        <v>273</v>
      </c>
      <c r="N256" s="6" t="s">
        <v>37</v>
      </c>
      <c r="O256" s="6" t="s">
        <v>38</v>
      </c>
    </row>
    <row r="257" customFormat="false" ht="14.25" hidden="false" customHeight="true" outlineLevel="0" collapsed="false">
      <c r="A257" s="6" t="s">
        <v>268</v>
      </c>
      <c r="B257" s="6" t="s">
        <v>268</v>
      </c>
      <c r="C257" s="6" t="s">
        <v>354</v>
      </c>
      <c r="D257" s="6" t="s">
        <v>411</v>
      </c>
      <c r="E257" s="14" t="n">
        <v>-28.975583</v>
      </c>
      <c r="F257" s="14" t="n">
        <v>29.235787</v>
      </c>
      <c r="G257" s="6" t="n">
        <v>1860</v>
      </c>
      <c r="H257" s="5" t="s">
        <v>33</v>
      </c>
      <c r="I257" s="6" t="s">
        <v>356</v>
      </c>
      <c r="J257" s="6" t="s">
        <v>34</v>
      </c>
      <c r="K257" s="6" t="s">
        <v>286</v>
      </c>
      <c r="L257" s="6" t="s">
        <v>287</v>
      </c>
      <c r="M257" s="6" t="s">
        <v>273</v>
      </c>
      <c r="N257" s="6" t="s">
        <v>37</v>
      </c>
      <c r="O257" s="6" t="s">
        <v>38</v>
      </c>
    </row>
    <row r="258" customFormat="false" ht="14.25" hidden="false" customHeight="true" outlineLevel="0" collapsed="false">
      <c r="A258" s="6" t="s">
        <v>268</v>
      </c>
      <c r="B258" s="6" t="s">
        <v>268</v>
      </c>
      <c r="C258" s="6" t="s">
        <v>354</v>
      </c>
      <c r="D258" s="6" t="s">
        <v>412</v>
      </c>
      <c r="E258" s="14" t="n">
        <v>-28.975583</v>
      </c>
      <c r="F258" s="14" t="n">
        <v>29.235787</v>
      </c>
      <c r="G258" s="6" t="n">
        <v>1860</v>
      </c>
      <c r="H258" s="5" t="s">
        <v>33</v>
      </c>
      <c r="I258" s="6" t="s">
        <v>356</v>
      </c>
      <c r="J258" s="6" t="s">
        <v>34</v>
      </c>
      <c r="K258" s="6" t="s">
        <v>413</v>
      </c>
      <c r="L258" s="6" t="s">
        <v>287</v>
      </c>
      <c r="M258" s="6" t="s">
        <v>273</v>
      </c>
      <c r="N258" s="6" t="s">
        <v>37</v>
      </c>
      <c r="O258" s="6" t="s">
        <v>38</v>
      </c>
    </row>
    <row r="259" customFormat="false" ht="14.25" hidden="false" customHeight="true" outlineLevel="0" collapsed="false">
      <c r="A259" s="6" t="s">
        <v>268</v>
      </c>
      <c r="B259" s="6" t="s">
        <v>268</v>
      </c>
      <c r="C259" s="6" t="s">
        <v>354</v>
      </c>
      <c r="D259" s="6" t="s">
        <v>414</v>
      </c>
      <c r="E259" s="14" t="n">
        <v>-28.975583</v>
      </c>
      <c r="F259" s="14" t="n">
        <v>29.235787</v>
      </c>
      <c r="G259" s="6" t="n">
        <v>1860</v>
      </c>
      <c r="H259" s="5" t="s">
        <v>33</v>
      </c>
      <c r="I259" s="6" t="s">
        <v>402</v>
      </c>
      <c r="J259" s="6" t="s">
        <v>378</v>
      </c>
      <c r="K259" s="6" t="s">
        <v>415</v>
      </c>
      <c r="L259" s="6" t="s">
        <v>322</v>
      </c>
      <c r="M259" s="6" t="s">
        <v>273</v>
      </c>
      <c r="N259" s="6" t="s">
        <v>25</v>
      </c>
      <c r="O259" s="6" t="s">
        <v>323</v>
      </c>
    </row>
    <row r="260" customFormat="false" ht="14.25" hidden="false" customHeight="true" outlineLevel="0" collapsed="false">
      <c r="A260" s="6" t="s">
        <v>268</v>
      </c>
      <c r="B260" s="6" t="s">
        <v>268</v>
      </c>
      <c r="C260" s="6" t="s">
        <v>354</v>
      </c>
      <c r="D260" s="6" t="s">
        <v>416</v>
      </c>
      <c r="E260" s="14" t="n">
        <v>-28.975583</v>
      </c>
      <c r="F260" s="14" t="n">
        <v>29.235787</v>
      </c>
      <c r="G260" s="6" t="n">
        <v>1860</v>
      </c>
      <c r="H260" s="5" t="s">
        <v>33</v>
      </c>
      <c r="I260" s="6" t="s">
        <v>356</v>
      </c>
      <c r="J260" s="6" t="s">
        <v>34</v>
      </c>
      <c r="K260" s="6" t="s">
        <v>286</v>
      </c>
      <c r="L260" s="6" t="s">
        <v>287</v>
      </c>
      <c r="M260" s="6" t="s">
        <v>273</v>
      </c>
      <c r="N260" s="6" t="s">
        <v>37</v>
      </c>
      <c r="O260" s="6" t="s">
        <v>38</v>
      </c>
    </row>
    <row r="261" customFormat="false" ht="14.25" hidden="false" customHeight="true" outlineLevel="0" collapsed="false">
      <c r="A261" s="6" t="s">
        <v>268</v>
      </c>
      <c r="B261" s="6" t="s">
        <v>268</v>
      </c>
      <c r="C261" s="6" t="s">
        <v>354</v>
      </c>
      <c r="D261" s="6" t="s">
        <v>417</v>
      </c>
      <c r="E261" s="14" t="n">
        <v>-28.940616</v>
      </c>
      <c r="F261" s="14" t="n">
        <v>29.23522</v>
      </c>
      <c r="G261" s="6" t="n">
        <v>1367</v>
      </c>
      <c r="H261" s="5" t="s">
        <v>33</v>
      </c>
      <c r="I261" s="6" t="s">
        <v>402</v>
      </c>
      <c r="J261" s="6" t="s">
        <v>378</v>
      </c>
      <c r="K261" s="6" t="s">
        <v>418</v>
      </c>
      <c r="L261" s="6" t="s">
        <v>322</v>
      </c>
      <c r="M261" s="6" t="s">
        <v>273</v>
      </c>
      <c r="N261" s="6" t="s">
        <v>37</v>
      </c>
      <c r="O261" s="6" t="s">
        <v>38</v>
      </c>
    </row>
    <row r="262" customFormat="false" ht="14.25" hidden="false" customHeight="true" outlineLevel="0" collapsed="false">
      <c r="A262" s="6" t="s">
        <v>268</v>
      </c>
      <c r="B262" s="6" t="s">
        <v>268</v>
      </c>
      <c r="C262" s="6" t="s">
        <v>354</v>
      </c>
      <c r="D262" s="6" t="s">
        <v>419</v>
      </c>
      <c r="E262" s="14" t="n">
        <v>-28.708434</v>
      </c>
      <c r="F262" s="14" t="n">
        <v>29.092818</v>
      </c>
      <c r="G262" s="6" t="n">
        <v>1376</v>
      </c>
      <c r="H262" s="5" t="s">
        <v>33</v>
      </c>
      <c r="I262" s="6" t="s">
        <v>377</v>
      </c>
      <c r="J262" s="6" t="s">
        <v>378</v>
      </c>
      <c r="K262" s="6" t="s">
        <v>379</v>
      </c>
      <c r="L262" s="6" t="s">
        <v>183</v>
      </c>
      <c r="M262" s="6" t="s">
        <v>273</v>
      </c>
      <c r="N262" s="6" t="s">
        <v>37</v>
      </c>
      <c r="O262" s="6" t="s">
        <v>38</v>
      </c>
    </row>
    <row r="263" customFormat="false" ht="14.25" hidden="false" customHeight="true" outlineLevel="0" collapsed="false">
      <c r="A263" s="6" t="s">
        <v>420</v>
      </c>
      <c r="B263" s="6" t="s">
        <v>268</v>
      </c>
      <c r="C263" s="6" t="s">
        <v>354</v>
      </c>
      <c r="D263" s="6" t="s">
        <v>421</v>
      </c>
      <c r="E263" s="14" t="n">
        <v>-28.991596</v>
      </c>
      <c r="F263" s="14" t="n">
        <v>29.273196</v>
      </c>
      <c r="G263" s="6" t="n">
        <v>1832</v>
      </c>
      <c r="H263" s="5" t="s">
        <v>63</v>
      </c>
      <c r="I263" s="6" t="s">
        <v>422</v>
      </c>
      <c r="J263" s="24" t="s">
        <v>423</v>
      </c>
      <c r="K263" s="24" t="s">
        <v>424</v>
      </c>
      <c r="L263" s="6" t="s">
        <v>425</v>
      </c>
      <c r="M263" s="6" t="s">
        <v>273</v>
      </c>
      <c r="N263" s="6" t="s">
        <v>37</v>
      </c>
      <c r="O263" s="6" t="s">
        <v>38</v>
      </c>
    </row>
    <row r="264" customFormat="false" ht="14.25" hidden="false" customHeight="true" outlineLevel="0" collapsed="false">
      <c r="A264" s="6" t="s">
        <v>420</v>
      </c>
      <c r="B264" s="6" t="s">
        <v>268</v>
      </c>
      <c r="C264" s="6" t="s">
        <v>354</v>
      </c>
      <c r="D264" s="6" t="s">
        <v>426</v>
      </c>
      <c r="E264" s="14" t="n">
        <v>-28.987768</v>
      </c>
      <c r="F264" s="14" t="n">
        <v>29.251791</v>
      </c>
      <c r="G264" s="6" t="n">
        <v>1850</v>
      </c>
      <c r="H264" s="5" t="s">
        <v>63</v>
      </c>
      <c r="I264" s="6" t="s">
        <v>422</v>
      </c>
      <c r="J264" s="24" t="s">
        <v>423</v>
      </c>
      <c r="K264" s="24" t="s">
        <v>424</v>
      </c>
      <c r="L264" s="6" t="s">
        <v>427</v>
      </c>
      <c r="M264" s="6" t="s">
        <v>273</v>
      </c>
      <c r="N264" s="6" t="s">
        <v>37</v>
      </c>
      <c r="O264" s="6" t="s">
        <v>38</v>
      </c>
    </row>
    <row r="265" customFormat="false" ht="14.25" hidden="false" customHeight="true" outlineLevel="0" collapsed="false">
      <c r="A265" s="6" t="s">
        <v>380</v>
      </c>
      <c r="B265" s="6" t="s">
        <v>268</v>
      </c>
      <c r="C265" s="6" t="s">
        <v>354</v>
      </c>
      <c r="D265" s="6" t="s">
        <v>428</v>
      </c>
      <c r="E265" s="14" t="n">
        <v>-28.994639</v>
      </c>
      <c r="F265" s="14" t="n">
        <v>29.233972</v>
      </c>
      <c r="G265" s="6" t="n">
        <v>1969</v>
      </c>
      <c r="H265" s="5" t="s">
        <v>33</v>
      </c>
      <c r="I265" s="24" t="s">
        <v>429</v>
      </c>
      <c r="J265" s="26" t="s">
        <v>430</v>
      </c>
      <c r="K265" s="26" t="s">
        <v>431</v>
      </c>
      <c r="L265" s="6" t="s">
        <v>432</v>
      </c>
      <c r="M265" s="6" t="s">
        <v>273</v>
      </c>
      <c r="N265" s="6" t="s">
        <v>37</v>
      </c>
      <c r="O265" s="6" t="s">
        <v>38</v>
      </c>
    </row>
    <row r="266" customFormat="false" ht="14.25" hidden="false" customHeight="true" outlineLevel="0" collapsed="false">
      <c r="A266" s="6" t="s">
        <v>380</v>
      </c>
      <c r="B266" s="6" t="s">
        <v>268</v>
      </c>
      <c r="C266" s="6" t="s">
        <v>354</v>
      </c>
      <c r="D266" s="6" t="s">
        <v>433</v>
      </c>
      <c r="E266" s="14" t="n">
        <v>-28.990703</v>
      </c>
      <c r="F266" s="14" t="n">
        <v>29.265611</v>
      </c>
      <c r="G266" s="6" t="n">
        <v>1909</v>
      </c>
      <c r="H266" s="5" t="s">
        <v>33</v>
      </c>
      <c r="I266" s="24" t="s">
        <v>429</v>
      </c>
      <c r="J266" s="26" t="s">
        <v>430</v>
      </c>
      <c r="K266" s="26" t="s">
        <v>431</v>
      </c>
      <c r="L266" s="6" t="s">
        <v>432</v>
      </c>
      <c r="M266" s="6" t="s">
        <v>273</v>
      </c>
      <c r="N266" s="6" t="s">
        <v>37</v>
      </c>
      <c r="O266" s="6" t="s">
        <v>38</v>
      </c>
    </row>
    <row r="267" customFormat="false" ht="14.25" hidden="false" customHeight="true" outlineLevel="0" collapsed="false">
      <c r="A267" s="6" t="s">
        <v>268</v>
      </c>
      <c r="B267" s="6" t="s">
        <v>268</v>
      </c>
      <c r="C267" s="6" t="s">
        <v>354</v>
      </c>
      <c r="D267" s="6" t="s">
        <v>434</v>
      </c>
      <c r="E267" s="14" t="n">
        <v>-28.98935</v>
      </c>
      <c r="F267" s="14" t="n">
        <v>29.239195</v>
      </c>
      <c r="G267" s="6" t="n">
        <v>1866</v>
      </c>
      <c r="H267" s="6" t="s">
        <v>19</v>
      </c>
      <c r="I267" s="6" t="s">
        <v>435</v>
      </c>
      <c r="J267" s="5" t="s">
        <v>21</v>
      </c>
      <c r="K267" s="6" t="s">
        <v>436</v>
      </c>
      <c r="L267" s="6" t="s">
        <v>437</v>
      </c>
      <c r="M267" s="6" t="s">
        <v>280</v>
      </c>
      <c r="N267" s="6" t="s">
        <v>37</v>
      </c>
      <c r="O267" s="6" t="s">
        <v>38</v>
      </c>
    </row>
    <row r="268" customFormat="false" ht="14.25" hidden="false" customHeight="true" outlineLevel="0" collapsed="false">
      <c r="A268" s="6" t="s">
        <v>438</v>
      </c>
      <c r="B268" s="6" t="s">
        <v>268</v>
      </c>
      <c r="C268" s="6" t="s">
        <v>354</v>
      </c>
      <c r="D268" s="6" t="s">
        <v>439</v>
      </c>
      <c r="E268" s="14" t="n">
        <v>-28.98935</v>
      </c>
      <c r="F268" s="14" t="n">
        <v>29.239195</v>
      </c>
      <c r="G268" s="6" t="n">
        <v>1866</v>
      </c>
      <c r="H268" s="6" t="s">
        <v>19</v>
      </c>
      <c r="I268" s="6" t="s">
        <v>440</v>
      </c>
      <c r="J268" s="6" t="s">
        <v>441</v>
      </c>
      <c r="K268" s="6" t="s">
        <v>442</v>
      </c>
      <c r="L268" s="6" t="s">
        <v>443</v>
      </c>
      <c r="M268" s="6" t="s">
        <v>280</v>
      </c>
      <c r="N268" s="6" t="s">
        <v>37</v>
      </c>
      <c r="O268" s="6" t="s">
        <v>38</v>
      </c>
    </row>
    <row r="269" customFormat="false" ht="14.25" hidden="false" customHeight="true" outlineLevel="0" collapsed="false">
      <c r="A269" s="6" t="s">
        <v>268</v>
      </c>
      <c r="B269" s="6" t="s">
        <v>268</v>
      </c>
      <c r="C269" s="6" t="s">
        <v>354</v>
      </c>
      <c r="D269" s="6" t="s">
        <v>444</v>
      </c>
      <c r="E269" s="14" t="n">
        <v>-28.98935</v>
      </c>
      <c r="F269" s="14" t="n">
        <v>29.239195</v>
      </c>
      <c r="G269" s="6" t="n">
        <v>1866</v>
      </c>
      <c r="H269" s="6" t="s">
        <v>19</v>
      </c>
      <c r="I269" s="6" t="s">
        <v>445</v>
      </c>
      <c r="J269" s="5" t="s">
        <v>446</v>
      </c>
      <c r="K269" s="6" t="s">
        <v>447</v>
      </c>
      <c r="L269" s="6" t="s">
        <v>38</v>
      </c>
      <c r="M269" s="6" t="s">
        <v>273</v>
      </c>
      <c r="N269" s="6" t="s">
        <v>37</v>
      </c>
      <c r="O269" s="6" t="s">
        <v>38</v>
      </c>
    </row>
    <row r="270" customFormat="false" ht="14.25" hidden="false" customHeight="true" outlineLevel="0" collapsed="false">
      <c r="A270" s="6" t="s">
        <v>268</v>
      </c>
      <c r="B270" s="6" t="s">
        <v>268</v>
      </c>
      <c r="C270" s="6" t="s">
        <v>354</v>
      </c>
      <c r="D270" s="6" t="s">
        <v>448</v>
      </c>
      <c r="E270" s="14" t="n">
        <v>-28.99071</v>
      </c>
      <c r="F270" s="14" t="n">
        <v>29.243776</v>
      </c>
      <c r="G270" s="6" t="n">
        <v>1857</v>
      </c>
      <c r="H270" s="6" t="s">
        <v>19</v>
      </c>
      <c r="I270" s="6" t="s">
        <v>449</v>
      </c>
      <c r="J270" s="5" t="s">
        <v>21</v>
      </c>
      <c r="K270" s="6" t="s">
        <v>436</v>
      </c>
      <c r="L270" s="6" t="s">
        <v>183</v>
      </c>
      <c r="M270" s="6" t="s">
        <v>273</v>
      </c>
      <c r="N270" s="6" t="s">
        <v>37</v>
      </c>
      <c r="O270" s="6" t="s">
        <v>38</v>
      </c>
    </row>
    <row r="271" customFormat="false" ht="14.25" hidden="false" customHeight="true" outlineLevel="0" collapsed="false">
      <c r="A271" s="6" t="s">
        <v>268</v>
      </c>
      <c r="B271" s="6" t="s">
        <v>268</v>
      </c>
      <c r="C271" s="6" t="s">
        <v>354</v>
      </c>
      <c r="D271" s="6" t="s">
        <v>450</v>
      </c>
      <c r="E271" s="14" t="n">
        <v>-28.99071</v>
      </c>
      <c r="F271" s="14" t="n">
        <v>29.243776</v>
      </c>
      <c r="G271" s="6" t="n">
        <v>1857</v>
      </c>
      <c r="H271" s="6" t="s">
        <v>19</v>
      </c>
      <c r="I271" s="6" t="s">
        <v>445</v>
      </c>
      <c r="J271" s="5" t="s">
        <v>446</v>
      </c>
      <c r="K271" s="6" t="s">
        <v>447</v>
      </c>
      <c r="L271" s="6" t="s">
        <v>38</v>
      </c>
      <c r="M271" s="6" t="s">
        <v>273</v>
      </c>
      <c r="N271" s="6" t="s">
        <v>37</v>
      </c>
      <c r="O271" s="6" t="s">
        <v>38</v>
      </c>
    </row>
    <row r="272" customFormat="false" ht="14.25" hidden="false" customHeight="true" outlineLevel="0" collapsed="false">
      <c r="A272" s="6" t="s">
        <v>268</v>
      </c>
      <c r="B272" s="6" t="s">
        <v>268</v>
      </c>
      <c r="C272" s="6" t="s">
        <v>354</v>
      </c>
      <c r="D272" s="6" t="s">
        <v>451</v>
      </c>
      <c r="E272" s="14" t="n">
        <v>-28.9908</v>
      </c>
      <c r="F272" s="14" t="n">
        <v>29.244337</v>
      </c>
      <c r="G272" s="6" t="n">
        <v>1857</v>
      </c>
      <c r="H272" s="6" t="s">
        <v>19</v>
      </c>
      <c r="I272" s="6" t="s">
        <v>449</v>
      </c>
      <c r="J272" s="5" t="s">
        <v>21</v>
      </c>
      <c r="K272" s="6" t="s">
        <v>436</v>
      </c>
      <c r="L272" s="6" t="s">
        <v>183</v>
      </c>
      <c r="M272" s="6" t="s">
        <v>273</v>
      </c>
      <c r="N272" s="6" t="s">
        <v>37</v>
      </c>
      <c r="O272" s="6" t="s">
        <v>38</v>
      </c>
    </row>
    <row r="273" customFormat="false" ht="14.25" hidden="false" customHeight="true" outlineLevel="0" collapsed="false">
      <c r="A273" s="6" t="s">
        <v>268</v>
      </c>
      <c r="B273" s="6" t="s">
        <v>268</v>
      </c>
      <c r="C273" s="6" t="s">
        <v>354</v>
      </c>
      <c r="D273" s="6" t="s">
        <v>452</v>
      </c>
      <c r="E273" s="14" t="n">
        <v>-28.9908</v>
      </c>
      <c r="F273" s="14" t="n">
        <v>29.244337</v>
      </c>
      <c r="G273" s="6" t="n">
        <v>1857</v>
      </c>
      <c r="H273" s="6" t="s">
        <v>19</v>
      </c>
      <c r="I273" s="6" t="s">
        <v>445</v>
      </c>
      <c r="J273" s="5" t="s">
        <v>446</v>
      </c>
      <c r="K273" s="6" t="s">
        <v>447</v>
      </c>
      <c r="L273" s="6" t="s">
        <v>38</v>
      </c>
      <c r="M273" s="6" t="s">
        <v>273</v>
      </c>
      <c r="N273" s="6" t="s">
        <v>37</v>
      </c>
      <c r="O273" s="6" t="s">
        <v>38</v>
      </c>
    </row>
    <row r="274" customFormat="false" ht="14.25" hidden="false" customHeight="true" outlineLevel="0" collapsed="false">
      <c r="A274" s="6" t="s">
        <v>268</v>
      </c>
      <c r="B274" s="6" t="s">
        <v>268</v>
      </c>
      <c r="C274" s="6" t="s">
        <v>354</v>
      </c>
      <c r="D274" s="6" t="s">
        <v>453</v>
      </c>
      <c r="E274" s="14" t="n">
        <v>-28.98776</v>
      </c>
      <c r="F274" s="14" t="n">
        <v>29.251843</v>
      </c>
      <c r="G274" s="6" t="n">
        <v>1850</v>
      </c>
      <c r="H274" s="6" t="s">
        <v>19</v>
      </c>
      <c r="I274" s="6" t="s">
        <v>454</v>
      </c>
      <c r="J274" s="5" t="s">
        <v>21</v>
      </c>
      <c r="K274" s="6" t="s">
        <v>436</v>
      </c>
      <c r="L274" s="6" t="s">
        <v>437</v>
      </c>
      <c r="M274" s="6" t="s">
        <v>273</v>
      </c>
      <c r="N274" s="6" t="s">
        <v>37</v>
      </c>
      <c r="O274" s="6" t="s">
        <v>38</v>
      </c>
    </row>
    <row r="275" customFormat="false" ht="14.25" hidden="false" customHeight="true" outlineLevel="0" collapsed="false">
      <c r="A275" s="6" t="s">
        <v>268</v>
      </c>
      <c r="B275" s="6" t="s">
        <v>268</v>
      </c>
      <c r="C275" s="6" t="s">
        <v>354</v>
      </c>
      <c r="D275" s="6" t="s">
        <v>455</v>
      </c>
      <c r="E275" s="14" t="n">
        <v>-28.98935</v>
      </c>
      <c r="F275" s="14" t="n">
        <v>29.239195</v>
      </c>
      <c r="G275" s="6" t="n">
        <v>1850</v>
      </c>
      <c r="H275" s="6" t="s">
        <v>19</v>
      </c>
      <c r="I275" s="6" t="s">
        <v>440</v>
      </c>
      <c r="J275" s="6" t="s">
        <v>441</v>
      </c>
      <c r="K275" s="6" t="s">
        <v>442</v>
      </c>
      <c r="L275" s="6" t="s">
        <v>443</v>
      </c>
      <c r="M275" s="6" t="s">
        <v>280</v>
      </c>
      <c r="N275" s="6" t="s">
        <v>37</v>
      </c>
      <c r="O275" s="6" t="s">
        <v>38</v>
      </c>
    </row>
    <row r="276" customFormat="false" ht="14.25" hidden="false" customHeight="true" outlineLevel="0" collapsed="false">
      <c r="A276" s="6" t="s">
        <v>268</v>
      </c>
      <c r="B276" s="6" t="s">
        <v>268</v>
      </c>
      <c r="C276" s="6" t="s">
        <v>354</v>
      </c>
      <c r="D276" s="6" t="s">
        <v>456</v>
      </c>
      <c r="E276" s="14" t="n">
        <v>-28.98935</v>
      </c>
      <c r="F276" s="14" t="n">
        <v>29.239195</v>
      </c>
      <c r="G276" s="6" t="n">
        <v>1850</v>
      </c>
      <c r="H276" s="6" t="s">
        <v>19</v>
      </c>
      <c r="I276" s="6" t="s">
        <v>445</v>
      </c>
      <c r="J276" s="5" t="s">
        <v>446</v>
      </c>
      <c r="K276" s="6" t="s">
        <v>447</v>
      </c>
      <c r="L276" s="6" t="s">
        <v>38</v>
      </c>
      <c r="M276" s="6" t="s">
        <v>273</v>
      </c>
      <c r="N276" s="6" t="s">
        <v>37</v>
      </c>
      <c r="O276" s="6" t="s">
        <v>38</v>
      </c>
    </row>
    <row r="277" customFormat="false" ht="14.25" hidden="false" customHeight="true" outlineLevel="0" collapsed="false">
      <c r="A277" s="6" t="s">
        <v>268</v>
      </c>
      <c r="B277" s="6" t="s">
        <v>268</v>
      </c>
      <c r="C277" s="6" t="s">
        <v>354</v>
      </c>
      <c r="D277" s="6" t="s">
        <v>457</v>
      </c>
      <c r="E277" s="14" t="n">
        <v>-28.98741</v>
      </c>
      <c r="F277" s="14" t="n">
        <v>29.252701</v>
      </c>
      <c r="G277" s="6" t="n">
        <v>1854</v>
      </c>
      <c r="H277" s="6" t="s">
        <v>19</v>
      </c>
      <c r="I277" s="6" t="s">
        <v>435</v>
      </c>
      <c r="J277" s="5" t="s">
        <v>21</v>
      </c>
      <c r="K277" s="6" t="s">
        <v>436</v>
      </c>
      <c r="L277" s="6" t="s">
        <v>437</v>
      </c>
      <c r="M277" s="6" t="s">
        <v>273</v>
      </c>
      <c r="N277" s="6" t="s">
        <v>37</v>
      </c>
      <c r="O277" s="6" t="s">
        <v>38</v>
      </c>
    </row>
    <row r="278" customFormat="false" ht="14.25" hidden="false" customHeight="true" outlineLevel="0" collapsed="false">
      <c r="A278" s="6" t="s">
        <v>268</v>
      </c>
      <c r="B278" s="6" t="s">
        <v>268</v>
      </c>
      <c r="C278" s="6" t="s">
        <v>354</v>
      </c>
      <c r="D278" s="6" t="s">
        <v>458</v>
      </c>
      <c r="E278" s="14" t="n">
        <v>-28.98741</v>
      </c>
      <c r="F278" s="14" t="n">
        <v>29.252701</v>
      </c>
      <c r="G278" s="6" t="n">
        <v>1854</v>
      </c>
      <c r="H278" s="6" t="s">
        <v>19</v>
      </c>
      <c r="I278" s="6" t="s">
        <v>445</v>
      </c>
      <c r="J278" s="5" t="s">
        <v>446</v>
      </c>
      <c r="K278" s="6" t="s">
        <v>447</v>
      </c>
      <c r="L278" s="6" t="s">
        <v>38</v>
      </c>
      <c r="M278" s="6" t="s">
        <v>273</v>
      </c>
      <c r="N278" s="6" t="s">
        <v>37</v>
      </c>
      <c r="O278" s="6" t="s">
        <v>38</v>
      </c>
    </row>
    <row r="279" customFormat="false" ht="14.25" hidden="false" customHeight="true" outlineLevel="0" collapsed="false">
      <c r="A279" s="6" t="s">
        <v>268</v>
      </c>
      <c r="B279" s="6" t="s">
        <v>268</v>
      </c>
      <c r="C279" s="6" t="s">
        <v>354</v>
      </c>
      <c r="D279" s="6" t="s">
        <v>459</v>
      </c>
      <c r="E279" s="14" t="n">
        <v>-28.99171</v>
      </c>
      <c r="F279" s="14" t="n">
        <v>29.273009</v>
      </c>
      <c r="G279" s="6" t="n">
        <v>1832</v>
      </c>
      <c r="H279" s="6" t="s">
        <v>19</v>
      </c>
      <c r="I279" s="6" t="s">
        <v>435</v>
      </c>
      <c r="J279" s="5" t="s">
        <v>21</v>
      </c>
      <c r="K279" s="6" t="s">
        <v>436</v>
      </c>
      <c r="L279" s="6" t="s">
        <v>437</v>
      </c>
      <c r="M279" s="6" t="s">
        <v>273</v>
      </c>
      <c r="N279" s="6" t="s">
        <v>37</v>
      </c>
      <c r="O279" s="6" t="s">
        <v>38</v>
      </c>
    </row>
    <row r="280" customFormat="false" ht="14.25" hidden="false" customHeight="true" outlineLevel="0" collapsed="false">
      <c r="A280" s="6" t="s">
        <v>268</v>
      </c>
      <c r="B280" s="6" t="s">
        <v>268</v>
      </c>
      <c r="C280" s="6" t="s">
        <v>354</v>
      </c>
      <c r="D280" s="6" t="s">
        <v>460</v>
      </c>
      <c r="E280" s="14" t="n">
        <v>-28.99171</v>
      </c>
      <c r="F280" s="14" t="n">
        <v>29.273009</v>
      </c>
      <c r="G280" s="6" t="n">
        <v>1832</v>
      </c>
      <c r="H280" s="6" t="s">
        <v>19</v>
      </c>
      <c r="I280" s="6" t="s">
        <v>440</v>
      </c>
      <c r="J280" s="6" t="s">
        <v>441</v>
      </c>
      <c r="K280" s="6" t="s">
        <v>442</v>
      </c>
      <c r="L280" s="6" t="s">
        <v>443</v>
      </c>
      <c r="M280" s="6" t="s">
        <v>280</v>
      </c>
      <c r="N280" s="6" t="s">
        <v>37</v>
      </c>
      <c r="O280" s="6" t="s">
        <v>38</v>
      </c>
    </row>
    <row r="281" customFormat="false" ht="14.25" hidden="false" customHeight="true" outlineLevel="0" collapsed="false">
      <c r="A281" s="6" t="s">
        <v>268</v>
      </c>
      <c r="B281" s="6" t="s">
        <v>268</v>
      </c>
      <c r="C281" s="6" t="s">
        <v>354</v>
      </c>
      <c r="D281" s="6" t="s">
        <v>461</v>
      </c>
      <c r="E281" s="14" t="n">
        <v>-28.99171</v>
      </c>
      <c r="F281" s="14" t="n">
        <v>29.273009</v>
      </c>
      <c r="G281" s="6" t="n">
        <v>1832</v>
      </c>
      <c r="H281" s="6" t="s">
        <v>19</v>
      </c>
      <c r="I281" s="6" t="s">
        <v>445</v>
      </c>
      <c r="J281" s="5" t="s">
        <v>446</v>
      </c>
      <c r="K281" s="6" t="s">
        <v>447</v>
      </c>
      <c r="L281" s="6" t="s">
        <v>38</v>
      </c>
      <c r="M281" s="6" t="s">
        <v>273</v>
      </c>
      <c r="N281" s="6" t="s">
        <v>37</v>
      </c>
      <c r="O281" s="6" t="s">
        <v>38</v>
      </c>
    </row>
    <row r="282" customFormat="false" ht="14.25" hidden="false" customHeight="true" outlineLevel="0" collapsed="false">
      <c r="A282" s="6" t="s">
        <v>380</v>
      </c>
      <c r="B282" s="6" t="s">
        <v>268</v>
      </c>
      <c r="C282" s="6" t="s">
        <v>354</v>
      </c>
      <c r="D282" s="6" t="s">
        <v>462</v>
      </c>
      <c r="E282" s="14" t="n">
        <v>-28.998377</v>
      </c>
      <c r="F282" s="14" t="n">
        <v>29.234188</v>
      </c>
      <c r="G282" s="6"/>
      <c r="H282" s="6" t="s">
        <v>19</v>
      </c>
      <c r="I282" s="6" t="s">
        <v>463</v>
      </c>
      <c r="J282" s="6" t="s">
        <v>464</v>
      </c>
      <c r="K282" s="6" t="s">
        <v>465</v>
      </c>
      <c r="L282" s="6" t="s">
        <v>38</v>
      </c>
      <c r="M282" s="6" t="s">
        <v>273</v>
      </c>
      <c r="N282" s="6" t="s">
        <v>37</v>
      </c>
      <c r="O282" s="6" t="s">
        <v>38</v>
      </c>
    </row>
    <row r="283" customFormat="false" ht="14.25" hidden="false" customHeight="true" outlineLevel="0" collapsed="false">
      <c r="A283" s="6" t="s">
        <v>380</v>
      </c>
      <c r="B283" s="6" t="s">
        <v>268</v>
      </c>
      <c r="C283" s="6" t="s">
        <v>354</v>
      </c>
      <c r="D283" s="6" t="s">
        <v>466</v>
      </c>
      <c r="E283" s="14" t="n">
        <v>-28.998444</v>
      </c>
      <c r="F283" s="14" t="n">
        <v>29.23428</v>
      </c>
      <c r="G283" s="6"/>
      <c r="H283" s="6" t="s">
        <v>19</v>
      </c>
      <c r="I283" s="6" t="s">
        <v>463</v>
      </c>
      <c r="J283" s="6" t="s">
        <v>464</v>
      </c>
      <c r="K283" s="6" t="s">
        <v>465</v>
      </c>
      <c r="L283" s="6" t="s">
        <v>38</v>
      </c>
      <c r="M283" s="6" t="s">
        <v>273</v>
      </c>
      <c r="N283" s="6" t="s">
        <v>37</v>
      </c>
      <c r="O283" s="6" t="s">
        <v>38</v>
      </c>
    </row>
    <row r="284" customFormat="false" ht="14.25" hidden="false" customHeight="true" outlineLevel="0" collapsed="false">
      <c r="A284" s="6" t="s">
        <v>380</v>
      </c>
      <c r="B284" s="6" t="s">
        <v>268</v>
      </c>
      <c r="C284" s="6" t="s">
        <v>354</v>
      </c>
      <c r="D284" s="6" t="s">
        <v>467</v>
      </c>
      <c r="E284" s="14" t="n">
        <v>-28.994298</v>
      </c>
      <c r="F284" s="14" t="n">
        <v>29.236802</v>
      </c>
      <c r="G284" s="6"/>
      <c r="H284" s="6" t="s">
        <v>19</v>
      </c>
      <c r="I284" s="6" t="s">
        <v>463</v>
      </c>
      <c r="J284" s="6" t="s">
        <v>464</v>
      </c>
      <c r="K284" s="6" t="s">
        <v>465</v>
      </c>
      <c r="L284" s="6" t="s">
        <v>38</v>
      </c>
      <c r="M284" s="6" t="s">
        <v>273</v>
      </c>
      <c r="N284" s="6" t="s">
        <v>37</v>
      </c>
      <c r="O284" s="6" t="s">
        <v>38</v>
      </c>
    </row>
    <row r="285" customFormat="false" ht="14.25" hidden="false" customHeight="true" outlineLevel="0" collapsed="false">
      <c r="A285" s="6" t="s">
        <v>380</v>
      </c>
      <c r="B285" s="6" t="s">
        <v>268</v>
      </c>
      <c r="C285" s="6" t="s">
        <v>354</v>
      </c>
      <c r="D285" s="6" t="s">
        <v>468</v>
      </c>
      <c r="E285" s="14" t="n">
        <v>-28.994408</v>
      </c>
      <c r="F285" s="14" t="n">
        <v>29.237037</v>
      </c>
      <c r="G285" s="6"/>
      <c r="H285" s="6" t="s">
        <v>19</v>
      </c>
      <c r="I285" s="6" t="s">
        <v>463</v>
      </c>
      <c r="J285" s="6" t="s">
        <v>464</v>
      </c>
      <c r="K285" s="6" t="s">
        <v>465</v>
      </c>
      <c r="L285" s="6" t="s">
        <v>38</v>
      </c>
      <c r="M285" s="6" t="s">
        <v>273</v>
      </c>
      <c r="N285" s="6" t="s">
        <v>37</v>
      </c>
      <c r="O285" s="6" t="s">
        <v>38</v>
      </c>
    </row>
    <row r="286" customFormat="false" ht="14.25" hidden="false" customHeight="true" outlineLevel="0" collapsed="false">
      <c r="A286" s="6" t="s">
        <v>380</v>
      </c>
      <c r="B286" s="6" t="s">
        <v>268</v>
      </c>
      <c r="C286" s="6" t="s">
        <v>354</v>
      </c>
      <c r="D286" s="6" t="s">
        <v>469</v>
      </c>
      <c r="E286" s="14" t="n">
        <v>-28.990337</v>
      </c>
      <c r="F286" s="14" t="n">
        <v>29.237972</v>
      </c>
      <c r="G286" s="6"/>
      <c r="H286" s="6" t="s">
        <v>19</v>
      </c>
      <c r="I286" s="6" t="s">
        <v>463</v>
      </c>
      <c r="J286" s="6" t="s">
        <v>464</v>
      </c>
      <c r="K286" s="6" t="s">
        <v>465</v>
      </c>
      <c r="L286" s="6" t="s">
        <v>38</v>
      </c>
      <c r="M286" s="6" t="s">
        <v>273</v>
      </c>
      <c r="N286" s="6" t="s">
        <v>37</v>
      </c>
      <c r="O286" s="6" t="s">
        <v>38</v>
      </c>
    </row>
    <row r="287" customFormat="false" ht="14.25" hidden="false" customHeight="true" outlineLevel="0" collapsed="false">
      <c r="A287" s="6" t="s">
        <v>380</v>
      </c>
      <c r="B287" s="6" t="s">
        <v>268</v>
      </c>
      <c r="C287" s="6" t="s">
        <v>354</v>
      </c>
      <c r="D287" s="6" t="s">
        <v>470</v>
      </c>
      <c r="E287" s="14" t="n">
        <v>-28.990445</v>
      </c>
      <c r="F287" s="14" t="n">
        <v>29.238047</v>
      </c>
      <c r="G287" s="6"/>
      <c r="H287" s="6" t="s">
        <v>19</v>
      </c>
      <c r="I287" s="6" t="s">
        <v>463</v>
      </c>
      <c r="J287" s="6" t="s">
        <v>464</v>
      </c>
      <c r="K287" s="6" t="s">
        <v>465</v>
      </c>
      <c r="L287" s="6" t="s">
        <v>38</v>
      </c>
      <c r="M287" s="6" t="s">
        <v>273</v>
      </c>
      <c r="N287" s="6" t="s">
        <v>37</v>
      </c>
      <c r="O287" s="6" t="s">
        <v>38</v>
      </c>
    </row>
    <row r="288" customFormat="false" ht="14.25" hidden="false" customHeight="true" outlineLevel="0" collapsed="false">
      <c r="A288" s="6" t="s">
        <v>380</v>
      </c>
      <c r="B288" s="6" t="s">
        <v>268</v>
      </c>
      <c r="C288" s="6" t="s">
        <v>354</v>
      </c>
      <c r="D288" s="6" t="s">
        <v>471</v>
      </c>
      <c r="E288" s="14" t="n">
        <v>-28.995485</v>
      </c>
      <c r="F288" s="14" t="n">
        <v>29.252464</v>
      </c>
      <c r="G288" s="6"/>
      <c r="H288" s="6" t="s">
        <v>19</v>
      </c>
      <c r="I288" s="6" t="s">
        <v>463</v>
      </c>
      <c r="J288" s="6" t="s">
        <v>464</v>
      </c>
      <c r="K288" s="6" t="s">
        <v>465</v>
      </c>
      <c r="L288" s="6" t="s">
        <v>38</v>
      </c>
      <c r="M288" s="6" t="s">
        <v>273</v>
      </c>
      <c r="N288" s="6" t="s">
        <v>37</v>
      </c>
      <c r="O288" s="6" t="s">
        <v>38</v>
      </c>
    </row>
    <row r="289" customFormat="false" ht="14.25" hidden="false" customHeight="true" outlineLevel="0" collapsed="false">
      <c r="A289" s="6" t="s">
        <v>380</v>
      </c>
      <c r="B289" s="6" t="s">
        <v>268</v>
      </c>
      <c r="C289" s="6" t="s">
        <v>354</v>
      </c>
      <c r="D289" s="6" t="s">
        <v>472</v>
      </c>
      <c r="E289" s="14" t="n">
        <v>-28.99563</v>
      </c>
      <c r="F289" s="14" t="n">
        <v>29.25233</v>
      </c>
      <c r="G289" s="6"/>
      <c r="H289" s="6" t="s">
        <v>19</v>
      </c>
      <c r="I289" s="6" t="s">
        <v>463</v>
      </c>
      <c r="J289" s="6" t="s">
        <v>464</v>
      </c>
      <c r="K289" s="6" t="s">
        <v>465</v>
      </c>
      <c r="L289" s="6" t="s">
        <v>38</v>
      </c>
      <c r="M289" s="6" t="s">
        <v>273</v>
      </c>
      <c r="N289" s="6" t="s">
        <v>37</v>
      </c>
      <c r="O289" s="6" t="s">
        <v>38</v>
      </c>
    </row>
    <row r="290" customFormat="false" ht="14.25" hidden="false" customHeight="true" outlineLevel="0" collapsed="false">
      <c r="A290" s="6" t="s">
        <v>380</v>
      </c>
      <c r="B290" s="6" t="s">
        <v>268</v>
      </c>
      <c r="C290" s="6" t="s">
        <v>354</v>
      </c>
      <c r="D290" s="6" t="s">
        <v>473</v>
      </c>
      <c r="E290" s="14" t="n">
        <v>-28.993319</v>
      </c>
      <c r="F290" s="14" t="n">
        <v>29.252372</v>
      </c>
      <c r="G290" s="6"/>
      <c r="H290" s="6" t="s">
        <v>19</v>
      </c>
      <c r="I290" s="6" t="s">
        <v>463</v>
      </c>
      <c r="J290" s="6" t="s">
        <v>464</v>
      </c>
      <c r="K290" s="6" t="s">
        <v>465</v>
      </c>
      <c r="L290" s="6" t="s">
        <v>38</v>
      </c>
      <c r="M290" s="6" t="s">
        <v>273</v>
      </c>
      <c r="N290" s="6" t="s">
        <v>37</v>
      </c>
      <c r="O290" s="6" t="s">
        <v>38</v>
      </c>
    </row>
    <row r="291" customFormat="false" ht="14.25" hidden="false" customHeight="true" outlineLevel="0" collapsed="false">
      <c r="A291" s="6" t="s">
        <v>380</v>
      </c>
      <c r="B291" s="6" t="s">
        <v>268</v>
      </c>
      <c r="C291" s="6" t="s">
        <v>354</v>
      </c>
      <c r="D291" s="6" t="s">
        <v>474</v>
      </c>
      <c r="E291" s="14" t="n">
        <v>-28.993301</v>
      </c>
      <c r="F291" s="14" t="n">
        <v>29.252295</v>
      </c>
      <c r="G291" s="6"/>
      <c r="H291" s="6" t="s">
        <v>19</v>
      </c>
      <c r="I291" s="6" t="s">
        <v>463</v>
      </c>
      <c r="J291" s="6" t="s">
        <v>464</v>
      </c>
      <c r="K291" s="6" t="s">
        <v>465</v>
      </c>
      <c r="L291" s="6" t="s">
        <v>38</v>
      </c>
      <c r="M291" s="6" t="s">
        <v>273</v>
      </c>
      <c r="N291" s="6" t="s">
        <v>37</v>
      </c>
      <c r="O291" s="6" t="s">
        <v>38</v>
      </c>
    </row>
    <row r="292" customFormat="false" ht="14.25" hidden="false" customHeight="true" outlineLevel="0" collapsed="false">
      <c r="A292" s="6" t="s">
        <v>380</v>
      </c>
      <c r="B292" s="6" t="s">
        <v>268</v>
      </c>
      <c r="C292" s="6" t="s">
        <v>354</v>
      </c>
      <c r="D292" s="6" t="s">
        <v>475</v>
      </c>
      <c r="E292" s="14" t="n">
        <v>-28.989423</v>
      </c>
      <c r="F292" s="14" t="n">
        <v>29.25188</v>
      </c>
      <c r="G292" s="6"/>
      <c r="H292" s="6" t="s">
        <v>19</v>
      </c>
      <c r="I292" s="6" t="s">
        <v>463</v>
      </c>
      <c r="J292" s="6" t="s">
        <v>464</v>
      </c>
      <c r="K292" s="6" t="s">
        <v>465</v>
      </c>
      <c r="L292" s="6" t="s">
        <v>38</v>
      </c>
      <c r="M292" s="6" t="s">
        <v>273</v>
      </c>
      <c r="N292" s="6" t="s">
        <v>37</v>
      </c>
      <c r="O292" s="6" t="s">
        <v>38</v>
      </c>
    </row>
    <row r="293" customFormat="false" ht="14.25" hidden="false" customHeight="true" outlineLevel="0" collapsed="false">
      <c r="A293" s="6" t="s">
        <v>380</v>
      </c>
      <c r="B293" s="6" t="s">
        <v>268</v>
      </c>
      <c r="C293" s="6" t="s">
        <v>354</v>
      </c>
      <c r="D293" s="6" t="s">
        <v>476</v>
      </c>
      <c r="E293" s="14" t="n">
        <v>-28.989516</v>
      </c>
      <c r="F293" s="14" t="n">
        <v>29.251988</v>
      </c>
      <c r="G293" s="6"/>
      <c r="H293" s="6" t="s">
        <v>19</v>
      </c>
      <c r="I293" s="6" t="s">
        <v>463</v>
      </c>
      <c r="J293" s="6" t="s">
        <v>464</v>
      </c>
      <c r="K293" s="6" t="s">
        <v>465</v>
      </c>
      <c r="L293" s="6" t="s">
        <v>38</v>
      </c>
      <c r="M293" s="6" t="s">
        <v>273</v>
      </c>
      <c r="N293" s="6" t="s">
        <v>37</v>
      </c>
      <c r="O293" s="6" t="s">
        <v>38</v>
      </c>
    </row>
    <row r="294" customFormat="false" ht="14.25" hidden="false" customHeight="true" outlineLevel="0" collapsed="false">
      <c r="A294" s="6" t="s">
        <v>380</v>
      </c>
      <c r="B294" s="6" t="s">
        <v>268</v>
      </c>
      <c r="C294" s="6" t="s">
        <v>354</v>
      </c>
      <c r="D294" s="6" t="s">
        <v>477</v>
      </c>
      <c r="E294" s="14" t="n">
        <v>-28.990628</v>
      </c>
      <c r="F294" s="14" t="n">
        <v>29.264336</v>
      </c>
      <c r="G294" s="6"/>
      <c r="H294" s="6" t="s">
        <v>19</v>
      </c>
      <c r="I294" s="6" t="s">
        <v>463</v>
      </c>
      <c r="J294" s="6" t="s">
        <v>464</v>
      </c>
      <c r="K294" s="6" t="s">
        <v>465</v>
      </c>
      <c r="L294" s="6" t="s">
        <v>38</v>
      </c>
      <c r="M294" s="6" t="s">
        <v>273</v>
      </c>
      <c r="N294" s="6" t="s">
        <v>37</v>
      </c>
      <c r="O294" s="6" t="s">
        <v>38</v>
      </c>
    </row>
    <row r="295" customFormat="false" ht="14.25" hidden="false" customHeight="true" outlineLevel="0" collapsed="false">
      <c r="A295" s="6" t="s">
        <v>380</v>
      </c>
      <c r="B295" s="6" t="s">
        <v>268</v>
      </c>
      <c r="C295" s="6" t="s">
        <v>354</v>
      </c>
      <c r="D295" s="6" t="s">
        <v>478</v>
      </c>
      <c r="E295" s="14" t="n">
        <v>-28.991081</v>
      </c>
      <c r="F295" s="14" t="n">
        <v>29.264466</v>
      </c>
      <c r="G295" s="6"/>
      <c r="H295" s="6" t="s">
        <v>19</v>
      </c>
      <c r="I295" s="6" t="s">
        <v>463</v>
      </c>
      <c r="J295" s="6" t="s">
        <v>464</v>
      </c>
      <c r="K295" s="6" t="s">
        <v>465</v>
      </c>
      <c r="L295" s="6" t="s">
        <v>38</v>
      </c>
      <c r="M295" s="6" t="s">
        <v>273</v>
      </c>
      <c r="N295" s="6" t="s">
        <v>37</v>
      </c>
      <c r="O295" s="6" t="s">
        <v>38</v>
      </c>
    </row>
    <row r="296" customFormat="false" ht="14.25" hidden="false" customHeight="true" outlineLevel="0" collapsed="false">
      <c r="A296" s="6" t="s">
        <v>380</v>
      </c>
      <c r="B296" s="6" t="s">
        <v>268</v>
      </c>
      <c r="C296" s="6" t="s">
        <v>354</v>
      </c>
      <c r="D296" s="6" t="s">
        <v>479</v>
      </c>
      <c r="E296" s="14" t="n">
        <v>-28.99061</v>
      </c>
      <c r="F296" s="14" t="n">
        <v>29.267246</v>
      </c>
      <c r="G296" s="6"/>
      <c r="H296" s="6" t="s">
        <v>19</v>
      </c>
      <c r="I296" s="6" t="s">
        <v>463</v>
      </c>
      <c r="J296" s="6" t="s">
        <v>464</v>
      </c>
      <c r="K296" s="6" t="s">
        <v>465</v>
      </c>
      <c r="L296" s="6" t="s">
        <v>38</v>
      </c>
      <c r="M296" s="6" t="s">
        <v>273</v>
      </c>
      <c r="N296" s="6" t="s">
        <v>37</v>
      </c>
      <c r="O296" s="6" t="s">
        <v>38</v>
      </c>
    </row>
    <row r="297" customFormat="false" ht="14.25" hidden="false" customHeight="true" outlineLevel="0" collapsed="false">
      <c r="A297" s="6" t="s">
        <v>380</v>
      </c>
      <c r="B297" s="6" t="s">
        <v>268</v>
      </c>
      <c r="C297" s="6" t="s">
        <v>354</v>
      </c>
      <c r="D297" s="6" t="s">
        <v>480</v>
      </c>
      <c r="E297" s="14" t="n">
        <v>-28.990737</v>
      </c>
      <c r="F297" s="14" t="n">
        <v>29.267199</v>
      </c>
      <c r="G297" s="6"/>
      <c r="H297" s="6" t="s">
        <v>19</v>
      </c>
      <c r="I297" s="6" t="s">
        <v>463</v>
      </c>
      <c r="J297" s="6" t="s">
        <v>464</v>
      </c>
      <c r="K297" s="6" t="s">
        <v>465</v>
      </c>
      <c r="L297" s="6" t="s">
        <v>38</v>
      </c>
      <c r="M297" s="6" t="s">
        <v>273</v>
      </c>
      <c r="N297" s="6" t="s">
        <v>37</v>
      </c>
      <c r="O297" s="6" t="s">
        <v>38</v>
      </c>
    </row>
    <row r="298" customFormat="false" ht="14.25" hidden="false" customHeight="true" outlineLevel="0" collapsed="false">
      <c r="A298" s="6" t="s">
        <v>380</v>
      </c>
      <c r="B298" s="6" t="s">
        <v>268</v>
      </c>
      <c r="C298" s="6" t="s">
        <v>354</v>
      </c>
      <c r="D298" s="6" t="s">
        <v>481</v>
      </c>
      <c r="E298" s="14" t="n">
        <v>-28.991731</v>
      </c>
      <c r="F298" s="14" t="n">
        <v>29.27033</v>
      </c>
      <c r="G298" s="6"/>
      <c r="H298" s="6" t="s">
        <v>19</v>
      </c>
      <c r="I298" s="6" t="s">
        <v>463</v>
      </c>
      <c r="J298" s="6" t="s">
        <v>464</v>
      </c>
      <c r="K298" s="6" t="s">
        <v>465</v>
      </c>
      <c r="L298" s="6" t="s">
        <v>38</v>
      </c>
      <c r="M298" s="6" t="s">
        <v>273</v>
      </c>
      <c r="N298" s="6" t="s">
        <v>37</v>
      </c>
      <c r="O298" s="6" t="s">
        <v>38</v>
      </c>
    </row>
    <row r="299" customFormat="false" ht="14.25" hidden="false" customHeight="true" outlineLevel="0" collapsed="false">
      <c r="A299" s="6" t="s">
        <v>380</v>
      </c>
      <c r="B299" s="6" t="s">
        <v>268</v>
      </c>
      <c r="C299" s="6" t="s">
        <v>354</v>
      </c>
      <c r="D299" s="6" t="s">
        <v>482</v>
      </c>
      <c r="E299" s="14" t="n">
        <v>-28.99188</v>
      </c>
      <c r="F299" s="14" t="n">
        <v>29.270294</v>
      </c>
      <c r="G299" s="6"/>
      <c r="H299" s="6" t="s">
        <v>19</v>
      </c>
      <c r="I299" s="6" t="s">
        <v>463</v>
      </c>
      <c r="J299" s="6" t="s">
        <v>464</v>
      </c>
      <c r="K299" s="6" t="s">
        <v>465</v>
      </c>
      <c r="L299" s="6" t="s">
        <v>38</v>
      </c>
      <c r="M299" s="6" t="s">
        <v>273</v>
      </c>
      <c r="N299" s="6" t="s">
        <v>37</v>
      </c>
      <c r="O299" s="6" t="s">
        <v>38</v>
      </c>
    </row>
    <row r="300" customFormat="false" ht="14.25" hidden="false" customHeight="true" outlineLevel="0" collapsed="false">
      <c r="A300" s="6" t="s">
        <v>483</v>
      </c>
      <c r="B300" s="6" t="s">
        <v>268</v>
      </c>
      <c r="C300" s="6" t="s">
        <v>484</v>
      </c>
      <c r="D300" s="6" t="s">
        <v>485</v>
      </c>
      <c r="E300" s="14" t="n">
        <v>-23.525</v>
      </c>
      <c r="F300" s="14" t="n">
        <v>31.116389</v>
      </c>
      <c r="G300" s="6" t="n">
        <v>335</v>
      </c>
      <c r="H300" s="5" t="s">
        <v>33</v>
      </c>
      <c r="I300" s="6" t="s">
        <v>429</v>
      </c>
      <c r="J300" s="6" t="s">
        <v>486</v>
      </c>
      <c r="K300" s="26" t="s">
        <v>431</v>
      </c>
      <c r="L300" s="6" t="s">
        <v>432</v>
      </c>
      <c r="M300" s="6" t="s">
        <v>273</v>
      </c>
      <c r="N300" s="6" t="s">
        <v>37</v>
      </c>
      <c r="O300" s="6" t="s">
        <v>38</v>
      </c>
    </row>
    <row r="301" customFormat="false" ht="14.25" hidden="false" customHeight="true" outlineLevel="0" collapsed="false">
      <c r="A301" s="6" t="s">
        <v>483</v>
      </c>
      <c r="B301" s="6" t="s">
        <v>268</v>
      </c>
      <c r="C301" s="6" t="s">
        <v>484</v>
      </c>
      <c r="D301" s="6" t="s">
        <v>487</v>
      </c>
      <c r="E301" s="14" t="n">
        <v>-23.525</v>
      </c>
      <c r="F301" s="14" t="n">
        <v>31.116389</v>
      </c>
      <c r="G301" s="6" t="n">
        <v>335</v>
      </c>
      <c r="H301" s="5" t="s">
        <v>33</v>
      </c>
      <c r="I301" s="6" t="s">
        <v>402</v>
      </c>
      <c r="J301" s="6" t="s">
        <v>378</v>
      </c>
      <c r="K301" s="6" t="s">
        <v>390</v>
      </c>
      <c r="L301" s="6" t="s">
        <v>322</v>
      </c>
      <c r="M301" s="6" t="s">
        <v>273</v>
      </c>
      <c r="N301" s="6" t="s">
        <v>37</v>
      </c>
      <c r="O301" s="6" t="s">
        <v>38</v>
      </c>
    </row>
    <row r="302" customFormat="false" ht="14.25" hidden="false" customHeight="true" outlineLevel="0" collapsed="false">
      <c r="A302" s="6" t="s">
        <v>483</v>
      </c>
      <c r="B302" s="6" t="s">
        <v>268</v>
      </c>
      <c r="C302" s="6" t="s">
        <v>484</v>
      </c>
      <c r="D302" s="6" t="s">
        <v>488</v>
      </c>
      <c r="E302" s="14" t="n">
        <v>-23.525833</v>
      </c>
      <c r="F302" s="14" t="n">
        <v>31.116389</v>
      </c>
      <c r="G302" s="6" t="n">
        <v>335</v>
      </c>
      <c r="H302" s="5" t="s">
        <v>33</v>
      </c>
      <c r="I302" s="6" t="s">
        <v>429</v>
      </c>
      <c r="J302" s="6" t="s">
        <v>486</v>
      </c>
      <c r="K302" s="26" t="s">
        <v>431</v>
      </c>
      <c r="L302" s="6" t="s">
        <v>432</v>
      </c>
      <c r="M302" s="6" t="s">
        <v>273</v>
      </c>
      <c r="N302" s="6" t="s">
        <v>37</v>
      </c>
      <c r="O302" s="6" t="s">
        <v>38</v>
      </c>
    </row>
    <row r="303" customFormat="false" ht="14.25" hidden="false" customHeight="true" outlineLevel="0" collapsed="false">
      <c r="A303" s="6" t="s">
        <v>15</v>
      </c>
      <c r="B303" s="6" t="s">
        <v>489</v>
      </c>
      <c r="C303" s="6" t="s">
        <v>490</v>
      </c>
      <c r="D303" s="6" t="s">
        <v>491</v>
      </c>
      <c r="E303" s="14" t="n">
        <v>-24.542253</v>
      </c>
      <c r="F303" s="14" t="n">
        <v>31.334914</v>
      </c>
      <c r="G303" s="6" t="n">
        <v>515</v>
      </c>
      <c r="H303" s="6" t="s">
        <v>33</v>
      </c>
      <c r="I303" s="6" t="s">
        <v>377</v>
      </c>
      <c r="J303" s="6" t="s">
        <v>378</v>
      </c>
      <c r="K303" s="6" t="s">
        <v>492</v>
      </c>
      <c r="L303" s="6" t="s">
        <v>183</v>
      </c>
      <c r="M303" s="6" t="s">
        <v>24</v>
      </c>
      <c r="N303" s="6" t="s">
        <v>37</v>
      </c>
      <c r="O303" s="6" t="s">
        <v>493</v>
      </c>
    </row>
    <row r="304" customFormat="false" ht="14.25" hidden="false" customHeight="true" outlineLevel="0" collapsed="false">
      <c r="A304" s="6" t="s">
        <v>15</v>
      </c>
      <c r="B304" s="6" t="s">
        <v>489</v>
      </c>
      <c r="C304" s="6" t="s">
        <v>494</v>
      </c>
      <c r="D304" s="6" t="s">
        <v>495</v>
      </c>
      <c r="E304" s="14" t="n">
        <v>-24.576235</v>
      </c>
      <c r="F304" s="14" t="n">
        <v>31.329555</v>
      </c>
      <c r="G304" s="6" t="n">
        <v>501</v>
      </c>
      <c r="H304" s="6" t="s">
        <v>33</v>
      </c>
      <c r="I304" s="6" t="s">
        <v>377</v>
      </c>
      <c r="J304" s="6" t="s">
        <v>378</v>
      </c>
      <c r="K304" s="6" t="s">
        <v>492</v>
      </c>
      <c r="L304" s="6" t="s">
        <v>183</v>
      </c>
      <c r="M304" s="6" t="s">
        <v>24</v>
      </c>
      <c r="N304" s="6" t="s">
        <v>37</v>
      </c>
      <c r="O304" s="6" t="s">
        <v>493</v>
      </c>
    </row>
    <row r="305" customFormat="false" ht="14.25" hidden="false" customHeight="true" outlineLevel="0" collapsed="false">
      <c r="A305" s="6" t="s">
        <v>15</v>
      </c>
      <c r="B305" s="6" t="s">
        <v>489</v>
      </c>
      <c r="C305" s="6" t="s">
        <v>496</v>
      </c>
      <c r="D305" s="6" t="s">
        <v>497</v>
      </c>
      <c r="E305" s="14" t="n">
        <v>-23.86753</v>
      </c>
      <c r="F305" s="14" t="n">
        <v>31.08588</v>
      </c>
      <c r="G305" s="6" t="n">
        <v>440</v>
      </c>
      <c r="H305" s="6" t="s">
        <v>33</v>
      </c>
      <c r="I305" s="6" t="s">
        <v>377</v>
      </c>
      <c r="J305" s="6" t="s">
        <v>378</v>
      </c>
      <c r="K305" s="6" t="s">
        <v>492</v>
      </c>
      <c r="L305" s="6" t="s">
        <v>183</v>
      </c>
      <c r="M305" s="6" t="s">
        <v>24</v>
      </c>
      <c r="N305" s="6" t="s">
        <v>37</v>
      </c>
      <c r="O305" s="6" t="s">
        <v>493</v>
      </c>
    </row>
    <row r="306" customFormat="false" ht="14.25" hidden="false" customHeight="true" outlineLevel="0" collapsed="false">
      <c r="A306" s="6" t="s">
        <v>498</v>
      </c>
      <c r="B306" s="6" t="s">
        <v>489</v>
      </c>
      <c r="C306" s="6" t="s">
        <v>499</v>
      </c>
      <c r="D306" s="6" t="s">
        <v>500</v>
      </c>
      <c r="E306" s="14" t="n">
        <v>-22.99154</v>
      </c>
      <c r="F306" s="14" t="n">
        <v>29.42433</v>
      </c>
      <c r="G306" s="6" t="n">
        <v>1223</v>
      </c>
      <c r="H306" s="6" t="s">
        <v>33</v>
      </c>
      <c r="I306" s="6" t="s">
        <v>377</v>
      </c>
      <c r="J306" s="6" t="s">
        <v>378</v>
      </c>
      <c r="K306" s="6" t="s">
        <v>492</v>
      </c>
      <c r="L306" s="6" t="s">
        <v>23</v>
      </c>
      <c r="M306" s="6" t="s">
        <v>501</v>
      </c>
      <c r="N306" s="6" t="s">
        <v>37</v>
      </c>
      <c r="O306" s="6" t="s">
        <v>493</v>
      </c>
    </row>
    <row r="307" customFormat="false" ht="14.25" hidden="false" customHeight="true" outlineLevel="0" collapsed="false">
      <c r="A307" s="6" t="s">
        <v>498</v>
      </c>
      <c r="B307" s="6" t="s">
        <v>489</v>
      </c>
      <c r="C307" s="6" t="s">
        <v>499</v>
      </c>
      <c r="D307" s="6" t="s">
        <v>502</v>
      </c>
      <c r="E307" s="14" t="n">
        <v>-23.04072</v>
      </c>
      <c r="F307" s="14" t="n">
        <v>29.44525</v>
      </c>
      <c r="G307" s="6" t="n">
        <v>1217</v>
      </c>
      <c r="H307" s="6" t="s">
        <v>33</v>
      </c>
      <c r="I307" s="6" t="s">
        <v>377</v>
      </c>
      <c r="J307" s="6" t="s">
        <v>378</v>
      </c>
      <c r="K307" s="6" t="s">
        <v>492</v>
      </c>
      <c r="L307" s="6" t="s">
        <v>23</v>
      </c>
      <c r="M307" s="6" t="s">
        <v>501</v>
      </c>
      <c r="N307" s="6" t="s">
        <v>37</v>
      </c>
      <c r="O307" s="6" t="s">
        <v>493</v>
      </c>
    </row>
    <row r="308" customFormat="false" ht="14.25" hidden="false" customHeight="true" outlineLevel="0" collapsed="false">
      <c r="A308" s="6" t="s">
        <v>498</v>
      </c>
      <c r="B308" s="6" t="s">
        <v>489</v>
      </c>
      <c r="C308" s="6" t="s">
        <v>499</v>
      </c>
      <c r="D308" s="6" t="s">
        <v>503</v>
      </c>
      <c r="E308" s="14" t="n">
        <v>-23.02486</v>
      </c>
      <c r="F308" s="14" t="n">
        <v>29.42891</v>
      </c>
      <c r="G308" s="6" t="n">
        <v>1719</v>
      </c>
      <c r="H308" s="6" t="s">
        <v>33</v>
      </c>
      <c r="I308" s="6" t="s">
        <v>377</v>
      </c>
      <c r="J308" s="6" t="s">
        <v>378</v>
      </c>
      <c r="K308" s="6" t="s">
        <v>492</v>
      </c>
      <c r="L308" s="6" t="s">
        <v>23</v>
      </c>
      <c r="M308" s="6" t="s">
        <v>501</v>
      </c>
      <c r="N308" s="6" t="s">
        <v>37</v>
      </c>
      <c r="O308" s="6" t="s">
        <v>493</v>
      </c>
    </row>
    <row r="309" customFormat="false" ht="14.25" hidden="false" customHeight="true" outlineLevel="0" collapsed="false">
      <c r="A309" s="6" t="s">
        <v>498</v>
      </c>
      <c r="B309" s="6" t="s">
        <v>489</v>
      </c>
      <c r="C309" s="6" t="s">
        <v>499</v>
      </c>
      <c r="D309" s="6" t="s">
        <v>504</v>
      </c>
      <c r="E309" s="14" t="n">
        <v>-22.9448</v>
      </c>
      <c r="F309" s="14" t="n">
        <v>29.43838</v>
      </c>
      <c r="G309" s="6" t="n">
        <v>822</v>
      </c>
      <c r="H309" s="6" t="s">
        <v>33</v>
      </c>
      <c r="I309" s="6" t="s">
        <v>377</v>
      </c>
      <c r="J309" s="6" t="s">
        <v>378</v>
      </c>
      <c r="K309" s="6" t="s">
        <v>492</v>
      </c>
      <c r="L309" s="6" t="s">
        <v>23</v>
      </c>
      <c r="M309" s="6" t="s">
        <v>501</v>
      </c>
      <c r="N309" s="6" t="s">
        <v>37</v>
      </c>
      <c r="O309" s="6" t="s">
        <v>493</v>
      </c>
    </row>
    <row r="310" customFormat="false" ht="14.25" hidden="false" customHeight="true" outlineLevel="0" collapsed="false">
      <c r="A310" s="6" t="s">
        <v>498</v>
      </c>
      <c r="B310" s="6" t="s">
        <v>489</v>
      </c>
      <c r="C310" s="6" t="s">
        <v>499</v>
      </c>
      <c r="D310" s="6" t="s">
        <v>505</v>
      </c>
      <c r="E310" s="14" t="n">
        <v>-22.9448</v>
      </c>
      <c r="F310" s="14" t="n">
        <v>29.43838</v>
      </c>
      <c r="G310" s="6" t="n">
        <v>822</v>
      </c>
      <c r="H310" s="6" t="s">
        <v>33</v>
      </c>
      <c r="I310" s="6" t="s">
        <v>377</v>
      </c>
      <c r="J310" s="6" t="s">
        <v>378</v>
      </c>
      <c r="K310" s="6" t="s">
        <v>492</v>
      </c>
      <c r="L310" s="6" t="s">
        <v>23</v>
      </c>
      <c r="M310" s="6" t="s">
        <v>501</v>
      </c>
      <c r="N310" s="6" t="s">
        <v>37</v>
      </c>
      <c r="O310" s="6" t="s">
        <v>493</v>
      </c>
    </row>
    <row r="311" customFormat="false" ht="14.25" hidden="false" customHeight="true" outlineLevel="0" collapsed="false">
      <c r="A311" s="6" t="s">
        <v>15</v>
      </c>
      <c r="B311" s="6" t="s">
        <v>489</v>
      </c>
      <c r="C311" s="6" t="s">
        <v>506</v>
      </c>
      <c r="D311" s="6" t="s">
        <v>507</v>
      </c>
      <c r="E311" s="14" t="n">
        <v>-23.94508</v>
      </c>
      <c r="F311" s="14" t="n">
        <v>31.16522</v>
      </c>
      <c r="G311" s="6" t="n">
        <v>426</v>
      </c>
      <c r="H311" s="6" t="s">
        <v>33</v>
      </c>
      <c r="I311" s="6" t="s">
        <v>377</v>
      </c>
      <c r="J311" s="6" t="s">
        <v>378</v>
      </c>
      <c r="K311" s="6" t="s">
        <v>492</v>
      </c>
      <c r="L311" s="6" t="s">
        <v>183</v>
      </c>
      <c r="M311" s="6" t="s">
        <v>24</v>
      </c>
      <c r="N311" s="6" t="s">
        <v>37</v>
      </c>
      <c r="O311" s="6" t="s">
        <v>493</v>
      </c>
    </row>
    <row r="312" customFormat="false" ht="14.25" hidden="false" customHeight="true" outlineLevel="0" collapsed="false">
      <c r="A312" s="6" t="s">
        <v>15</v>
      </c>
      <c r="B312" s="6" t="s">
        <v>489</v>
      </c>
      <c r="C312" s="6" t="s">
        <v>508</v>
      </c>
      <c r="D312" s="6" t="s">
        <v>509</v>
      </c>
      <c r="E312" s="14" t="n">
        <v>-23.948919</v>
      </c>
      <c r="F312" s="14" t="n">
        <v>29.944027</v>
      </c>
      <c r="G312" s="6" t="n">
        <v>1466</v>
      </c>
      <c r="H312" s="6" t="s">
        <v>33</v>
      </c>
      <c r="I312" s="6" t="s">
        <v>377</v>
      </c>
      <c r="J312" s="6" t="s">
        <v>378</v>
      </c>
      <c r="K312" s="6" t="s">
        <v>492</v>
      </c>
      <c r="L312" s="6" t="s">
        <v>183</v>
      </c>
      <c r="M312" s="6" t="s">
        <v>73</v>
      </c>
      <c r="N312" s="6" t="s">
        <v>37</v>
      </c>
      <c r="O312" s="6" t="s">
        <v>493</v>
      </c>
    </row>
    <row r="313" customFormat="false" ht="14.25" hidden="false" customHeight="true" outlineLevel="0" collapsed="false">
      <c r="A313" s="6" t="s">
        <v>15</v>
      </c>
      <c r="B313" s="6" t="s">
        <v>489</v>
      </c>
      <c r="C313" s="6" t="s">
        <v>508</v>
      </c>
      <c r="D313" s="6" t="s">
        <v>510</v>
      </c>
      <c r="E313" s="14" t="n">
        <v>-23.948919</v>
      </c>
      <c r="F313" s="14" t="n">
        <v>29.944027</v>
      </c>
      <c r="G313" s="6" t="n">
        <v>1466</v>
      </c>
      <c r="H313" s="6" t="s">
        <v>33</v>
      </c>
      <c r="I313" s="6" t="s">
        <v>377</v>
      </c>
      <c r="J313" s="6" t="s">
        <v>378</v>
      </c>
      <c r="K313" s="6" t="s">
        <v>492</v>
      </c>
      <c r="L313" s="6" t="s">
        <v>183</v>
      </c>
      <c r="M313" s="6" t="s">
        <v>73</v>
      </c>
      <c r="N313" s="6" t="s">
        <v>37</v>
      </c>
      <c r="O313" s="6" t="s">
        <v>493</v>
      </c>
    </row>
    <row r="314" customFormat="false" ht="14.25" hidden="false" customHeight="true" outlineLevel="0" collapsed="false">
      <c r="A314" s="6" t="s">
        <v>15</v>
      </c>
      <c r="B314" s="6" t="s">
        <v>489</v>
      </c>
      <c r="C314" s="6" t="s">
        <v>508</v>
      </c>
      <c r="D314" s="6" t="s">
        <v>511</v>
      </c>
      <c r="E314" s="14" t="n">
        <v>-23.947794</v>
      </c>
      <c r="F314" s="14" t="n">
        <v>29.93792</v>
      </c>
      <c r="G314" s="6" t="n">
        <v>1459</v>
      </c>
      <c r="H314" s="6" t="s">
        <v>33</v>
      </c>
      <c r="I314" s="6" t="s">
        <v>512</v>
      </c>
      <c r="J314" s="6" t="s">
        <v>378</v>
      </c>
      <c r="K314" s="6" t="s">
        <v>492</v>
      </c>
      <c r="L314" s="5" t="s">
        <v>58</v>
      </c>
      <c r="M314" s="6" t="s">
        <v>24</v>
      </c>
      <c r="N314" s="6" t="s">
        <v>25</v>
      </c>
      <c r="O314" s="6" t="s">
        <v>493</v>
      </c>
    </row>
    <row r="315" customFormat="false" ht="14.25" hidden="false" customHeight="true" outlineLevel="0" collapsed="false">
      <c r="A315" s="6" t="s">
        <v>15</v>
      </c>
      <c r="B315" s="6" t="s">
        <v>489</v>
      </c>
      <c r="C315" s="6" t="s">
        <v>513</v>
      </c>
      <c r="D315" s="6" t="s">
        <v>514</v>
      </c>
      <c r="E315" s="14" t="n">
        <v>-24.227122</v>
      </c>
      <c r="F315" s="14" t="n">
        <v>30.86838</v>
      </c>
      <c r="G315" s="6" t="n">
        <v>460</v>
      </c>
      <c r="H315" s="6" t="s">
        <v>33</v>
      </c>
      <c r="I315" s="6" t="s">
        <v>377</v>
      </c>
      <c r="J315" s="6" t="s">
        <v>378</v>
      </c>
      <c r="K315" s="6" t="s">
        <v>492</v>
      </c>
      <c r="L315" s="6" t="s">
        <v>183</v>
      </c>
      <c r="M315" s="6" t="s">
        <v>24</v>
      </c>
      <c r="N315" s="6" t="s">
        <v>37</v>
      </c>
      <c r="O315" s="6" t="s">
        <v>493</v>
      </c>
    </row>
    <row r="316" customFormat="false" ht="14.25" hidden="false" customHeight="true" outlineLevel="0" collapsed="false">
      <c r="A316" s="6" t="s">
        <v>15</v>
      </c>
      <c r="B316" s="6" t="s">
        <v>489</v>
      </c>
      <c r="C316" s="6" t="s">
        <v>515</v>
      </c>
      <c r="D316" s="6" t="s">
        <v>516</v>
      </c>
      <c r="E316" s="14" t="n">
        <v>-24.58476</v>
      </c>
      <c r="F316" s="14" t="n">
        <v>30.86346</v>
      </c>
      <c r="G316" s="6" t="n">
        <v>1592</v>
      </c>
      <c r="H316" s="6" t="s">
        <v>33</v>
      </c>
      <c r="I316" s="6" t="s">
        <v>377</v>
      </c>
      <c r="J316" s="6" t="s">
        <v>378</v>
      </c>
      <c r="K316" s="6" t="s">
        <v>492</v>
      </c>
      <c r="L316" s="6" t="s">
        <v>183</v>
      </c>
      <c r="M316" s="6" t="s">
        <v>73</v>
      </c>
      <c r="N316" s="6" t="s">
        <v>37</v>
      </c>
      <c r="O316" s="6" t="s">
        <v>493</v>
      </c>
    </row>
    <row r="317" customFormat="false" ht="14.25" hidden="false" customHeight="true" outlineLevel="0" collapsed="false">
      <c r="A317" s="6" t="s">
        <v>15</v>
      </c>
      <c r="B317" s="6" t="s">
        <v>489</v>
      </c>
      <c r="C317" s="6" t="s">
        <v>517</v>
      </c>
      <c r="D317" s="6" t="s">
        <v>518</v>
      </c>
      <c r="E317" s="14" t="n">
        <v>-24.53408</v>
      </c>
      <c r="F317" s="14" t="n">
        <v>30.8729</v>
      </c>
      <c r="G317" s="6" t="n">
        <v>1314</v>
      </c>
      <c r="H317" s="6" t="s">
        <v>33</v>
      </c>
      <c r="I317" s="6" t="s">
        <v>377</v>
      </c>
      <c r="J317" s="6" t="s">
        <v>378</v>
      </c>
      <c r="K317" s="6" t="s">
        <v>492</v>
      </c>
      <c r="L317" s="6" t="s">
        <v>519</v>
      </c>
      <c r="M317" s="6" t="s">
        <v>73</v>
      </c>
      <c r="N317" s="6" t="s">
        <v>37</v>
      </c>
      <c r="O317" s="6" t="s">
        <v>493</v>
      </c>
    </row>
    <row r="318" customFormat="false" ht="14.25" hidden="false" customHeight="true" outlineLevel="0" collapsed="false">
      <c r="A318" s="6" t="s">
        <v>15</v>
      </c>
      <c r="B318" s="6" t="s">
        <v>489</v>
      </c>
      <c r="C318" s="6" t="s">
        <v>520</v>
      </c>
      <c r="D318" s="6" t="s">
        <v>521</v>
      </c>
      <c r="E318" s="14" t="n">
        <v>-23.754868</v>
      </c>
      <c r="F318" s="14" t="n">
        <v>31.432018</v>
      </c>
      <c r="G318" s="6" t="n">
        <v>272</v>
      </c>
      <c r="H318" s="6" t="s">
        <v>33</v>
      </c>
      <c r="I318" s="6" t="s">
        <v>377</v>
      </c>
      <c r="J318" s="6" t="s">
        <v>378</v>
      </c>
      <c r="K318" s="6" t="s">
        <v>492</v>
      </c>
      <c r="L318" s="6" t="s">
        <v>183</v>
      </c>
      <c r="M318" s="6" t="s">
        <v>73</v>
      </c>
      <c r="N318" s="6" t="s">
        <v>37</v>
      </c>
      <c r="O318" s="6" t="s">
        <v>493</v>
      </c>
    </row>
    <row r="319" customFormat="false" ht="14.25" hidden="false" customHeight="true" outlineLevel="0" collapsed="false">
      <c r="A319" s="6" t="s">
        <v>15</v>
      </c>
      <c r="B319" s="6" t="s">
        <v>489</v>
      </c>
      <c r="C319" s="6" t="s">
        <v>520</v>
      </c>
      <c r="D319" s="6" t="s">
        <v>522</v>
      </c>
      <c r="E319" s="14" t="n">
        <v>-23.754868</v>
      </c>
      <c r="F319" s="14" t="n">
        <v>31.432018</v>
      </c>
      <c r="G319" s="6" t="n">
        <v>272</v>
      </c>
      <c r="H319" s="6" t="s">
        <v>33</v>
      </c>
      <c r="I319" s="6" t="s">
        <v>320</v>
      </c>
      <c r="J319" s="6" t="s">
        <v>378</v>
      </c>
      <c r="K319" s="6" t="s">
        <v>492</v>
      </c>
      <c r="L319" s="5" t="s">
        <v>58</v>
      </c>
      <c r="M319" s="6" t="s">
        <v>24</v>
      </c>
      <c r="N319" s="6" t="s">
        <v>37</v>
      </c>
      <c r="O319" s="6" t="s">
        <v>493</v>
      </c>
    </row>
    <row r="320" customFormat="false" ht="14.25" hidden="false" customHeight="true" outlineLevel="0" collapsed="false">
      <c r="A320" s="6" t="s">
        <v>15</v>
      </c>
      <c r="B320" s="6" t="s">
        <v>489</v>
      </c>
      <c r="C320" s="6" t="s">
        <v>523</v>
      </c>
      <c r="D320" s="6" t="s">
        <v>524</v>
      </c>
      <c r="E320" s="14" t="n">
        <v>-23.86634</v>
      </c>
      <c r="F320" s="14" t="n">
        <v>31.07365</v>
      </c>
      <c r="G320" s="6" t="n">
        <v>414</v>
      </c>
      <c r="H320" s="6" t="s">
        <v>33</v>
      </c>
      <c r="I320" s="6" t="s">
        <v>377</v>
      </c>
      <c r="J320" s="6" t="s">
        <v>378</v>
      </c>
      <c r="K320" s="6" t="s">
        <v>492</v>
      </c>
      <c r="L320" s="6" t="s">
        <v>183</v>
      </c>
      <c r="M320" s="6" t="s">
        <v>73</v>
      </c>
      <c r="N320" s="6" t="s">
        <v>37</v>
      </c>
      <c r="O320" s="6" t="s">
        <v>493</v>
      </c>
    </row>
    <row r="321" customFormat="false" ht="14.25" hidden="false" customHeight="true" outlineLevel="0" collapsed="false">
      <c r="A321" s="6" t="s">
        <v>15</v>
      </c>
      <c r="B321" s="6" t="s">
        <v>489</v>
      </c>
      <c r="C321" s="6" t="s">
        <v>525</v>
      </c>
      <c r="D321" s="6" t="s">
        <v>526</v>
      </c>
      <c r="E321" s="14" t="n">
        <v>-23.93822</v>
      </c>
      <c r="F321" s="14" t="n">
        <v>31.04065</v>
      </c>
      <c r="G321" s="6" t="n">
        <v>404</v>
      </c>
      <c r="H321" s="6" t="s">
        <v>33</v>
      </c>
      <c r="I321" s="6" t="s">
        <v>377</v>
      </c>
      <c r="J321" s="6" t="s">
        <v>378</v>
      </c>
      <c r="K321" s="6" t="s">
        <v>492</v>
      </c>
      <c r="L321" s="6" t="s">
        <v>183</v>
      </c>
      <c r="M321" s="6" t="s">
        <v>73</v>
      </c>
      <c r="N321" s="6" t="s">
        <v>37</v>
      </c>
      <c r="O321" s="6" t="s">
        <v>493</v>
      </c>
    </row>
    <row r="322" customFormat="false" ht="14.25" hidden="false" customHeight="true" outlineLevel="0" collapsed="false">
      <c r="A322" s="6" t="s">
        <v>15</v>
      </c>
      <c r="B322" s="6" t="s">
        <v>489</v>
      </c>
      <c r="C322" s="6" t="s">
        <v>527</v>
      </c>
      <c r="D322" s="6" t="s">
        <v>528</v>
      </c>
      <c r="E322" s="14" t="n">
        <v>-23.984913</v>
      </c>
      <c r="F322" s="14" t="n">
        <v>31.149446</v>
      </c>
      <c r="G322" s="6" t="n">
        <v>393</v>
      </c>
      <c r="H322" s="6" t="s">
        <v>33</v>
      </c>
      <c r="I322" s="6" t="s">
        <v>377</v>
      </c>
      <c r="J322" s="6" t="s">
        <v>378</v>
      </c>
      <c r="K322" s="6" t="s">
        <v>492</v>
      </c>
      <c r="L322" s="6" t="s">
        <v>183</v>
      </c>
      <c r="M322" s="6" t="s">
        <v>24</v>
      </c>
      <c r="N322" s="6" t="s">
        <v>37</v>
      </c>
      <c r="O322" s="6" t="s">
        <v>493</v>
      </c>
    </row>
    <row r="323" customFormat="false" ht="14.25" hidden="false" customHeight="true" outlineLevel="0" collapsed="false">
      <c r="A323" s="6" t="s">
        <v>15</v>
      </c>
      <c r="B323" s="6" t="s">
        <v>489</v>
      </c>
      <c r="C323" s="6" t="s">
        <v>529</v>
      </c>
      <c r="D323" s="6" t="s">
        <v>530</v>
      </c>
      <c r="E323" s="14" t="n">
        <v>-24.155913</v>
      </c>
      <c r="F323" s="14" t="n">
        <v>30.828917</v>
      </c>
      <c r="G323" s="6" t="n">
        <v>452</v>
      </c>
      <c r="H323" s="6" t="s">
        <v>33</v>
      </c>
      <c r="I323" s="6" t="s">
        <v>377</v>
      </c>
      <c r="J323" s="6" t="s">
        <v>378</v>
      </c>
      <c r="K323" s="6" t="s">
        <v>492</v>
      </c>
      <c r="L323" s="6" t="s">
        <v>183</v>
      </c>
      <c r="M323" s="6" t="s">
        <v>73</v>
      </c>
      <c r="N323" s="6" t="s">
        <v>37</v>
      </c>
      <c r="O323" s="6" t="s">
        <v>493</v>
      </c>
    </row>
    <row r="324" customFormat="false" ht="14.25" hidden="false" customHeight="true" outlineLevel="0" collapsed="false">
      <c r="A324" s="6" t="s">
        <v>15</v>
      </c>
      <c r="B324" s="6" t="s">
        <v>489</v>
      </c>
      <c r="C324" s="6" t="s">
        <v>531</v>
      </c>
      <c r="D324" s="6" t="s">
        <v>532</v>
      </c>
      <c r="E324" s="14" t="n">
        <v>-24.36084</v>
      </c>
      <c r="F324" s="14" t="n">
        <v>30.947585</v>
      </c>
      <c r="G324" s="6" t="n">
        <v>512</v>
      </c>
      <c r="H324" s="6" t="s">
        <v>33</v>
      </c>
      <c r="I324" s="6" t="s">
        <v>377</v>
      </c>
      <c r="J324" s="6" t="s">
        <v>378</v>
      </c>
      <c r="K324" s="6" t="s">
        <v>492</v>
      </c>
      <c r="L324" s="6" t="s">
        <v>183</v>
      </c>
      <c r="M324" s="6" t="s">
        <v>24</v>
      </c>
      <c r="N324" s="6" t="s">
        <v>37</v>
      </c>
      <c r="O324" s="6" t="s">
        <v>493</v>
      </c>
    </row>
    <row r="325" customFormat="false" ht="14.25" hidden="false" customHeight="true" outlineLevel="0" collapsed="false">
      <c r="A325" s="6" t="s">
        <v>15</v>
      </c>
      <c r="B325" s="6" t="s">
        <v>489</v>
      </c>
      <c r="C325" s="6" t="s">
        <v>533</v>
      </c>
      <c r="D325" s="6" t="s">
        <v>534</v>
      </c>
      <c r="E325" s="14" t="n">
        <v>-23.931972</v>
      </c>
      <c r="F325" s="14" t="n">
        <v>31.139835</v>
      </c>
      <c r="G325" s="6" t="n">
        <v>446</v>
      </c>
      <c r="H325" s="6" t="s">
        <v>33</v>
      </c>
      <c r="I325" s="6" t="s">
        <v>377</v>
      </c>
      <c r="J325" s="6" t="s">
        <v>378</v>
      </c>
      <c r="K325" s="6" t="s">
        <v>492</v>
      </c>
      <c r="L325" s="6" t="s">
        <v>183</v>
      </c>
      <c r="M325" s="6" t="s">
        <v>24</v>
      </c>
      <c r="N325" s="6" t="s">
        <v>37</v>
      </c>
      <c r="O325" s="6" t="s">
        <v>493</v>
      </c>
    </row>
    <row r="326" customFormat="false" ht="14.25" hidden="false" customHeight="true" outlineLevel="0" collapsed="false">
      <c r="A326" s="6" t="s">
        <v>15</v>
      </c>
      <c r="B326" s="6" t="s">
        <v>489</v>
      </c>
      <c r="C326" s="6" t="s">
        <v>535</v>
      </c>
      <c r="D326" s="6" t="s">
        <v>536</v>
      </c>
      <c r="E326" s="14" t="n">
        <v>-23.952143</v>
      </c>
      <c r="F326" s="14" t="n">
        <v>31.142074</v>
      </c>
      <c r="G326" s="6" t="n">
        <v>446</v>
      </c>
      <c r="H326" s="6" t="s">
        <v>33</v>
      </c>
      <c r="I326" s="6" t="s">
        <v>377</v>
      </c>
      <c r="J326" s="6" t="s">
        <v>378</v>
      </c>
      <c r="K326" s="6" t="s">
        <v>492</v>
      </c>
      <c r="L326" s="6" t="s">
        <v>183</v>
      </c>
      <c r="M326" s="6" t="s">
        <v>24</v>
      </c>
      <c r="N326" s="6" t="s">
        <v>37</v>
      </c>
      <c r="O326" s="6" t="s">
        <v>493</v>
      </c>
    </row>
    <row r="327" customFormat="false" ht="14.25" hidden="false" customHeight="true" outlineLevel="0" collapsed="false">
      <c r="A327" s="6" t="s">
        <v>15</v>
      </c>
      <c r="B327" s="6" t="s">
        <v>489</v>
      </c>
      <c r="C327" s="6" t="s">
        <v>537</v>
      </c>
      <c r="D327" s="6" t="s">
        <v>538</v>
      </c>
      <c r="E327" s="14" t="n">
        <v>-23.851904</v>
      </c>
      <c r="F327" s="14" t="n">
        <v>31.573162</v>
      </c>
      <c r="G327" s="6" t="n">
        <v>232</v>
      </c>
      <c r="H327" s="6" t="s">
        <v>33</v>
      </c>
      <c r="I327" s="6" t="s">
        <v>377</v>
      </c>
      <c r="J327" s="6" t="s">
        <v>378</v>
      </c>
      <c r="K327" s="6" t="s">
        <v>492</v>
      </c>
      <c r="L327" s="6" t="s">
        <v>183</v>
      </c>
      <c r="M327" s="6" t="s">
        <v>24</v>
      </c>
      <c r="N327" s="6" t="s">
        <v>37</v>
      </c>
      <c r="O327" s="6" t="s">
        <v>493</v>
      </c>
    </row>
    <row r="328" customFormat="false" ht="14.25" hidden="false" customHeight="true" outlineLevel="0" collapsed="false">
      <c r="A328" s="6" t="s">
        <v>15</v>
      </c>
      <c r="B328" s="6" t="s">
        <v>489</v>
      </c>
      <c r="C328" s="6" t="s">
        <v>539</v>
      </c>
      <c r="D328" s="6" t="s">
        <v>540</v>
      </c>
      <c r="E328" s="14" t="n">
        <v>-24.47241</v>
      </c>
      <c r="F328" s="14" t="n">
        <v>31.97681</v>
      </c>
      <c r="G328" s="6" t="n">
        <v>165</v>
      </c>
      <c r="H328" s="6" t="s">
        <v>33</v>
      </c>
      <c r="I328" s="6" t="s">
        <v>377</v>
      </c>
      <c r="J328" s="6" t="s">
        <v>378</v>
      </c>
      <c r="K328" s="6" t="s">
        <v>492</v>
      </c>
      <c r="L328" s="6" t="s">
        <v>183</v>
      </c>
      <c r="M328" s="6" t="s">
        <v>24</v>
      </c>
      <c r="N328" s="6" t="s">
        <v>37</v>
      </c>
      <c r="O328" s="6" t="s">
        <v>493</v>
      </c>
    </row>
    <row r="329" customFormat="false" ht="14.25" hidden="false" customHeight="true" outlineLevel="0" collapsed="false">
      <c r="A329" s="6" t="s">
        <v>15</v>
      </c>
      <c r="B329" s="6" t="s">
        <v>489</v>
      </c>
      <c r="C329" s="6" t="s">
        <v>541</v>
      </c>
      <c r="D329" s="6" t="s">
        <v>542</v>
      </c>
      <c r="E329" s="14" t="n">
        <v>-23.552342</v>
      </c>
      <c r="F329" s="14" t="n">
        <v>31.048293</v>
      </c>
      <c r="G329" s="6" t="n">
        <v>387</v>
      </c>
      <c r="H329" s="6" t="s">
        <v>33</v>
      </c>
      <c r="I329" s="6" t="s">
        <v>377</v>
      </c>
      <c r="J329" s="6" t="s">
        <v>378</v>
      </c>
      <c r="K329" s="6" t="s">
        <v>492</v>
      </c>
      <c r="L329" s="6" t="s">
        <v>183</v>
      </c>
      <c r="M329" s="6" t="s">
        <v>24</v>
      </c>
      <c r="N329" s="6" t="s">
        <v>37</v>
      </c>
      <c r="O329" s="6" t="s">
        <v>493</v>
      </c>
    </row>
    <row r="330" customFormat="false" ht="14.25" hidden="false" customHeight="true" outlineLevel="0" collapsed="false">
      <c r="A330" s="6" t="s">
        <v>15</v>
      </c>
      <c r="B330" s="6" t="s">
        <v>489</v>
      </c>
      <c r="C330" s="6" t="s">
        <v>543</v>
      </c>
      <c r="D330" s="6" t="s">
        <v>544</v>
      </c>
      <c r="E330" s="14" t="n">
        <v>-23.661859</v>
      </c>
      <c r="F330" s="14" t="n">
        <v>31.033797</v>
      </c>
      <c r="G330" s="6" t="n">
        <v>352</v>
      </c>
      <c r="H330" s="6" t="s">
        <v>33</v>
      </c>
      <c r="I330" s="6" t="s">
        <v>377</v>
      </c>
      <c r="J330" s="6" t="s">
        <v>378</v>
      </c>
      <c r="K330" s="6" t="s">
        <v>492</v>
      </c>
      <c r="L330" s="6" t="s">
        <v>23</v>
      </c>
      <c r="M330" s="6" t="s">
        <v>24</v>
      </c>
      <c r="N330" s="6" t="s">
        <v>37</v>
      </c>
      <c r="O330" s="6" t="s">
        <v>493</v>
      </c>
    </row>
    <row r="331" customFormat="false" ht="14.25" hidden="false" customHeight="true" outlineLevel="0" collapsed="false">
      <c r="A331" s="6" t="s">
        <v>15</v>
      </c>
      <c r="B331" s="6" t="s">
        <v>489</v>
      </c>
      <c r="C331" s="6" t="s">
        <v>545</v>
      </c>
      <c r="D331" s="6" t="s">
        <v>546</v>
      </c>
      <c r="E331" s="14" t="n">
        <v>-23.670688</v>
      </c>
      <c r="F331" s="14" t="n">
        <v>30.979352</v>
      </c>
      <c r="G331" s="6" t="n">
        <v>346</v>
      </c>
      <c r="H331" s="6" t="s">
        <v>33</v>
      </c>
      <c r="I331" s="6" t="s">
        <v>377</v>
      </c>
      <c r="J331" s="6" t="s">
        <v>378</v>
      </c>
      <c r="K331" s="6" t="s">
        <v>492</v>
      </c>
      <c r="L331" s="6" t="s">
        <v>23</v>
      </c>
      <c r="M331" s="6" t="s">
        <v>24</v>
      </c>
      <c r="N331" s="6" t="s">
        <v>37</v>
      </c>
      <c r="O331" s="6" t="s">
        <v>493</v>
      </c>
    </row>
    <row r="332" customFormat="false" ht="14.25" hidden="false" customHeight="true" outlineLevel="0" collapsed="false">
      <c r="A332" s="6" t="s">
        <v>15</v>
      </c>
      <c r="B332" s="6" t="s">
        <v>547</v>
      </c>
      <c r="C332" s="6" t="s">
        <v>548</v>
      </c>
      <c r="D332" s="6" t="s">
        <v>549</v>
      </c>
      <c r="E332" s="14" t="n">
        <v>-31.756004</v>
      </c>
      <c r="F332" s="14" t="n">
        <v>24.538164</v>
      </c>
      <c r="G332" s="6" t="n">
        <v>2146</v>
      </c>
      <c r="H332" s="6" t="s">
        <v>33</v>
      </c>
      <c r="I332" s="6" t="s">
        <v>512</v>
      </c>
      <c r="J332" s="6" t="s">
        <v>378</v>
      </c>
      <c r="K332" s="6" t="s">
        <v>550</v>
      </c>
      <c r="L332" s="6" t="s">
        <v>322</v>
      </c>
      <c r="M332" s="6" t="s">
        <v>24</v>
      </c>
      <c r="N332" s="6" t="s">
        <v>37</v>
      </c>
      <c r="O332" s="6" t="s">
        <v>551</v>
      </c>
    </row>
    <row r="333" customFormat="false" ht="14.25" hidden="false" customHeight="true" outlineLevel="0" collapsed="false">
      <c r="A333" s="6" t="s">
        <v>15</v>
      </c>
      <c r="B333" s="6" t="s">
        <v>547</v>
      </c>
      <c r="C333" s="6" t="s">
        <v>552</v>
      </c>
      <c r="D333" s="6" t="s">
        <v>553</v>
      </c>
      <c r="E333" s="14" t="n">
        <v>-28.8924</v>
      </c>
      <c r="F333" s="14" t="n">
        <v>24.8641</v>
      </c>
      <c r="G333" s="6" t="n">
        <v>1191</v>
      </c>
      <c r="H333" s="6" t="s">
        <v>33</v>
      </c>
      <c r="I333" s="6" t="s">
        <v>512</v>
      </c>
      <c r="J333" s="6" t="s">
        <v>378</v>
      </c>
      <c r="K333" s="6" t="s">
        <v>554</v>
      </c>
      <c r="L333" s="6" t="s">
        <v>322</v>
      </c>
      <c r="M333" s="6" t="s">
        <v>24</v>
      </c>
      <c r="N333" s="6" t="s">
        <v>25</v>
      </c>
      <c r="O333" s="6" t="s">
        <v>38</v>
      </c>
    </row>
    <row r="334" customFormat="false" ht="14.25" hidden="false" customHeight="true" outlineLevel="0" collapsed="false">
      <c r="A334" s="6" t="s">
        <v>15</v>
      </c>
      <c r="B334" s="6" t="s">
        <v>547</v>
      </c>
      <c r="C334" s="6" t="s">
        <v>555</v>
      </c>
      <c r="D334" s="6" t="s">
        <v>556</v>
      </c>
      <c r="E334" s="14" t="n">
        <v>-33.166143</v>
      </c>
      <c r="F334" s="14" t="n">
        <v>22.267964</v>
      </c>
      <c r="G334" s="6" t="n">
        <v>734</v>
      </c>
      <c r="H334" s="6" t="s">
        <v>33</v>
      </c>
      <c r="I334" s="6" t="s">
        <v>512</v>
      </c>
      <c r="J334" s="6" t="s">
        <v>378</v>
      </c>
      <c r="K334" s="6" t="s">
        <v>550</v>
      </c>
      <c r="L334" s="6" t="s">
        <v>322</v>
      </c>
      <c r="M334" s="6" t="s">
        <v>24</v>
      </c>
      <c r="N334" s="6" t="s">
        <v>25</v>
      </c>
      <c r="O334" s="6" t="s">
        <v>38</v>
      </c>
    </row>
    <row r="335" customFormat="false" ht="14.25" hidden="false" customHeight="true" outlineLevel="0" collapsed="false">
      <c r="A335" s="6" t="s">
        <v>15</v>
      </c>
      <c r="B335" s="6" t="s">
        <v>547</v>
      </c>
      <c r="C335" s="6" t="s">
        <v>557</v>
      </c>
      <c r="D335" s="6" t="s">
        <v>558</v>
      </c>
      <c r="E335" s="14" t="n">
        <v>-33.196838</v>
      </c>
      <c r="F335" s="14" t="n">
        <v>22.02991</v>
      </c>
      <c r="G335" s="6" t="n">
        <v>550</v>
      </c>
      <c r="H335" s="6" t="s">
        <v>33</v>
      </c>
      <c r="I335" s="6" t="s">
        <v>377</v>
      </c>
      <c r="J335" s="6" t="s">
        <v>378</v>
      </c>
      <c r="K335" s="6" t="s">
        <v>559</v>
      </c>
      <c r="L335" s="6" t="s">
        <v>23</v>
      </c>
      <c r="M335" s="6" t="s">
        <v>24</v>
      </c>
      <c r="N335" s="6" t="s">
        <v>37</v>
      </c>
      <c r="O335" s="6" t="s">
        <v>38</v>
      </c>
    </row>
    <row r="336" customFormat="false" ht="14.25" hidden="false" customHeight="true" outlineLevel="0" collapsed="false">
      <c r="A336" s="5" t="s">
        <v>15</v>
      </c>
      <c r="B336" s="6" t="s">
        <v>16</v>
      </c>
      <c r="C336" s="7" t="s">
        <v>157</v>
      </c>
      <c r="D336" s="6" t="s">
        <v>560</v>
      </c>
      <c r="E336" s="14" t="n">
        <v>-34.72178</v>
      </c>
      <c r="F336" s="14" t="n">
        <v>19.9515</v>
      </c>
      <c r="G336" s="7"/>
      <c r="H336" s="5" t="s">
        <v>19</v>
      </c>
      <c r="I336" s="16" t="s">
        <v>166</v>
      </c>
      <c r="J336" s="5" t="s">
        <v>160</v>
      </c>
      <c r="K336" s="5" t="s">
        <v>167</v>
      </c>
      <c r="L336" s="6" t="s">
        <v>162</v>
      </c>
      <c r="M336" s="6" t="s">
        <v>163</v>
      </c>
      <c r="N336" s="6" t="s">
        <v>37</v>
      </c>
      <c r="O336" s="6" t="s">
        <v>87</v>
      </c>
    </row>
    <row r="337" customFormat="false" ht="14.25" hidden="false" customHeight="true" outlineLevel="0" collapsed="false">
      <c r="A337" s="5" t="s">
        <v>15</v>
      </c>
      <c r="B337" s="6" t="s">
        <v>16</v>
      </c>
      <c r="C337" s="7" t="s">
        <v>157</v>
      </c>
      <c r="D337" s="6" t="s">
        <v>561</v>
      </c>
      <c r="E337" s="14" t="n">
        <v>-34.60474</v>
      </c>
      <c r="F337" s="14" t="n">
        <v>19.79825</v>
      </c>
      <c r="G337" s="7"/>
      <c r="H337" s="5" t="s">
        <v>19</v>
      </c>
      <c r="I337" s="16" t="s">
        <v>166</v>
      </c>
      <c r="J337" s="5" t="s">
        <v>160</v>
      </c>
      <c r="K337" s="5" t="s">
        <v>167</v>
      </c>
      <c r="L337" s="6" t="s">
        <v>162</v>
      </c>
      <c r="M337" s="6" t="s">
        <v>163</v>
      </c>
      <c r="N337" s="6" t="s">
        <v>37</v>
      </c>
      <c r="O337" s="6" t="s">
        <v>87</v>
      </c>
    </row>
    <row r="338" customFormat="false" ht="14.25" hidden="false" customHeight="true" outlineLevel="0" collapsed="false">
      <c r="A338" s="5" t="s">
        <v>15</v>
      </c>
      <c r="B338" s="6" t="s">
        <v>16</v>
      </c>
      <c r="C338" s="7" t="s">
        <v>157</v>
      </c>
      <c r="D338" s="6" t="s">
        <v>562</v>
      </c>
      <c r="E338" s="14" t="n">
        <v>-34.63398</v>
      </c>
      <c r="F338" s="14" t="n">
        <v>19.86482</v>
      </c>
      <c r="G338" s="7"/>
      <c r="H338" s="5" t="s">
        <v>19</v>
      </c>
      <c r="I338" s="16" t="s">
        <v>166</v>
      </c>
      <c r="J338" s="5" t="s">
        <v>160</v>
      </c>
      <c r="K338" s="5" t="s">
        <v>167</v>
      </c>
      <c r="L338" s="6" t="s">
        <v>162</v>
      </c>
      <c r="M338" s="6" t="s">
        <v>163</v>
      </c>
      <c r="N338" s="6" t="s">
        <v>37</v>
      </c>
      <c r="O338" s="6" t="s">
        <v>87</v>
      </c>
    </row>
    <row r="339" customFormat="false" ht="14.25" hidden="false" customHeight="true" outlineLevel="0" collapsed="false">
      <c r="A339" s="5" t="s">
        <v>15</v>
      </c>
      <c r="B339" s="6" t="s">
        <v>16</v>
      </c>
      <c r="C339" s="7" t="s">
        <v>157</v>
      </c>
      <c r="D339" s="6" t="s">
        <v>563</v>
      </c>
      <c r="E339" s="14" t="n">
        <v>-34.63789</v>
      </c>
      <c r="F339" s="14" t="n">
        <v>19.85585</v>
      </c>
      <c r="G339" s="7"/>
      <c r="H339" s="6" t="s">
        <v>295</v>
      </c>
      <c r="I339" s="15" t="s">
        <v>564</v>
      </c>
      <c r="J339" s="5" t="s">
        <v>181</v>
      </c>
      <c r="K339" s="6" t="s">
        <v>295</v>
      </c>
      <c r="L339" s="6" t="s">
        <v>162</v>
      </c>
      <c r="M339" s="6" t="s">
        <v>163</v>
      </c>
      <c r="N339" s="6" t="s">
        <v>37</v>
      </c>
      <c r="O339" s="6" t="s">
        <v>87</v>
      </c>
    </row>
    <row r="340" customFormat="false" ht="14.25" hidden="false" customHeight="true" outlineLevel="0" collapsed="false">
      <c r="A340" s="12" t="s">
        <v>565</v>
      </c>
      <c r="B340" s="6" t="s">
        <v>566</v>
      </c>
      <c r="C340" s="13" t="s">
        <v>552</v>
      </c>
      <c r="D340" s="12" t="s">
        <v>567</v>
      </c>
      <c r="E340" s="8" t="n">
        <v>-33.990289</v>
      </c>
      <c r="F340" s="8" t="n">
        <v>18.95543</v>
      </c>
      <c r="G340" s="12"/>
      <c r="H340" s="12" t="s">
        <v>63</v>
      </c>
      <c r="I340" s="12" t="s">
        <v>64</v>
      </c>
      <c r="J340" s="12" t="s">
        <v>65</v>
      </c>
      <c r="K340" s="12" t="s">
        <v>66</v>
      </c>
      <c r="L340" s="12" t="s">
        <v>67</v>
      </c>
      <c r="M340" s="6" t="s">
        <v>163</v>
      </c>
      <c r="N340" s="13" t="s">
        <v>68</v>
      </c>
    </row>
    <row r="341" customFormat="false" ht="14.25" hidden="false" customHeight="true" outlineLevel="0" collapsed="false">
      <c r="A341" s="12" t="s">
        <v>565</v>
      </c>
      <c r="B341" s="6" t="s">
        <v>566</v>
      </c>
      <c r="C341" s="13" t="s">
        <v>552</v>
      </c>
      <c r="D341" s="12" t="s">
        <v>568</v>
      </c>
      <c r="E341" s="8" t="n">
        <v>-33.990289</v>
      </c>
      <c r="F341" s="8" t="n">
        <v>18.95543</v>
      </c>
      <c r="G341" s="12"/>
      <c r="H341" s="12" t="s">
        <v>63</v>
      </c>
      <c r="I341" s="12" t="s">
        <v>64</v>
      </c>
      <c r="J341" s="12" t="s">
        <v>65</v>
      </c>
      <c r="K341" s="12" t="s">
        <v>66</v>
      </c>
      <c r="L341" s="12" t="s">
        <v>67</v>
      </c>
      <c r="M341" s="6" t="s">
        <v>163</v>
      </c>
      <c r="N341" s="13" t="s">
        <v>68</v>
      </c>
    </row>
    <row r="342" customFormat="false" ht="14.25" hidden="false" customHeight="true" outlineLevel="0" collapsed="false">
      <c r="A342" s="6" t="s">
        <v>15</v>
      </c>
      <c r="B342" s="6" t="s">
        <v>489</v>
      </c>
      <c r="C342" s="6" t="s">
        <v>569</v>
      </c>
      <c r="D342" s="6" t="s">
        <v>570</v>
      </c>
      <c r="E342" s="14" t="n">
        <v>-23.674299259</v>
      </c>
      <c r="F342" s="14" t="n">
        <v>31.005508751</v>
      </c>
      <c r="G342" s="6" t="n">
        <v>332.816</v>
      </c>
      <c r="H342" s="6" t="s">
        <v>19</v>
      </c>
      <c r="I342" s="6" t="s">
        <v>159</v>
      </c>
      <c r="J342" s="5" t="s">
        <v>160</v>
      </c>
      <c r="K342" s="6" t="s">
        <v>161</v>
      </c>
      <c r="L342" s="6" t="s">
        <v>23</v>
      </c>
      <c r="M342" s="6" t="s">
        <v>163</v>
      </c>
      <c r="N342" s="6" t="s">
        <v>37</v>
      </c>
      <c r="O342" s="6" t="s">
        <v>87</v>
      </c>
    </row>
    <row r="343" customFormat="false" ht="14.25" hidden="false" customHeight="true" outlineLevel="0" collapsed="false">
      <c r="A343" s="6" t="s">
        <v>15</v>
      </c>
      <c r="B343" s="6" t="s">
        <v>489</v>
      </c>
      <c r="C343" s="6" t="s">
        <v>569</v>
      </c>
      <c r="D343" s="6" t="s">
        <v>571</v>
      </c>
      <c r="E343" s="14" t="n">
        <v>-23.674297937</v>
      </c>
      <c r="F343" s="14" t="n">
        <v>31.005498881</v>
      </c>
      <c r="G343" s="6" t="n">
        <v>332.966</v>
      </c>
      <c r="H343" s="6" t="s">
        <v>19</v>
      </c>
      <c r="I343" s="6" t="s">
        <v>159</v>
      </c>
      <c r="J343" s="5" t="s">
        <v>160</v>
      </c>
      <c r="K343" s="6" t="s">
        <v>161</v>
      </c>
      <c r="L343" s="6" t="s">
        <v>23</v>
      </c>
      <c r="M343" s="6" t="s">
        <v>163</v>
      </c>
      <c r="N343" s="6" t="s">
        <v>37</v>
      </c>
      <c r="O343" s="6" t="s">
        <v>87</v>
      </c>
    </row>
    <row r="344" customFormat="false" ht="14.25" hidden="false" customHeight="true" outlineLevel="0" collapsed="false">
      <c r="A344" s="6" t="s">
        <v>15</v>
      </c>
      <c r="B344" s="6" t="s">
        <v>489</v>
      </c>
      <c r="C344" s="6" t="s">
        <v>569</v>
      </c>
      <c r="D344" s="6" t="s">
        <v>572</v>
      </c>
      <c r="E344" s="14" t="n">
        <v>-23.674764519</v>
      </c>
      <c r="F344" s="14" t="n">
        <v>31.004662622</v>
      </c>
      <c r="G344" s="6" t="n">
        <v>329.94</v>
      </c>
      <c r="H344" s="6" t="s">
        <v>19</v>
      </c>
      <c r="I344" s="6" t="s">
        <v>159</v>
      </c>
      <c r="J344" s="5" t="s">
        <v>160</v>
      </c>
      <c r="K344" s="6" t="s">
        <v>161</v>
      </c>
      <c r="L344" s="6" t="s">
        <v>23</v>
      </c>
      <c r="M344" s="6" t="s">
        <v>163</v>
      </c>
      <c r="N344" s="6" t="s">
        <v>37</v>
      </c>
      <c r="O344" s="6" t="s">
        <v>87</v>
      </c>
    </row>
    <row r="345" customFormat="false" ht="14.25" hidden="false" customHeight="true" outlineLevel="0" collapsed="false">
      <c r="A345" s="6" t="s">
        <v>15</v>
      </c>
      <c r="B345" s="6" t="s">
        <v>489</v>
      </c>
      <c r="C345" s="6" t="s">
        <v>569</v>
      </c>
      <c r="D345" s="6" t="s">
        <v>573</v>
      </c>
      <c r="E345" s="14" t="n">
        <v>-23.669515034</v>
      </c>
      <c r="F345" s="14" t="n">
        <v>31.016633354</v>
      </c>
      <c r="G345" s="6" t="n">
        <v>332.84</v>
      </c>
      <c r="H345" s="6" t="s">
        <v>19</v>
      </c>
      <c r="I345" s="6" t="s">
        <v>159</v>
      </c>
      <c r="J345" s="5" t="s">
        <v>160</v>
      </c>
      <c r="K345" s="6" t="s">
        <v>161</v>
      </c>
      <c r="L345" s="6" t="s">
        <v>23</v>
      </c>
      <c r="M345" s="6" t="s">
        <v>163</v>
      </c>
      <c r="N345" s="6" t="s">
        <v>37</v>
      </c>
      <c r="O345" s="6" t="s">
        <v>87</v>
      </c>
    </row>
    <row r="346" customFormat="false" ht="14.25" hidden="false" customHeight="true" outlineLevel="0" collapsed="false">
      <c r="A346" s="6" t="s">
        <v>15</v>
      </c>
      <c r="B346" s="6" t="s">
        <v>489</v>
      </c>
      <c r="C346" s="6" t="s">
        <v>569</v>
      </c>
      <c r="D346" s="6" t="s">
        <v>574</v>
      </c>
      <c r="E346" s="14" t="n">
        <v>-23.669519698</v>
      </c>
      <c r="F346" s="14" t="n">
        <v>31.016568496</v>
      </c>
      <c r="G346" s="6" t="n">
        <v>328.683</v>
      </c>
      <c r="H346" s="6" t="s">
        <v>19</v>
      </c>
      <c r="I346" s="6" t="s">
        <v>159</v>
      </c>
      <c r="J346" s="5" t="s">
        <v>160</v>
      </c>
      <c r="K346" s="6" t="s">
        <v>161</v>
      </c>
      <c r="L346" s="6" t="s">
        <v>23</v>
      </c>
      <c r="M346" s="6" t="s">
        <v>163</v>
      </c>
      <c r="N346" s="6" t="s">
        <v>37</v>
      </c>
      <c r="O346" s="6" t="s">
        <v>87</v>
      </c>
    </row>
    <row r="347" customFormat="false" ht="14.25" hidden="false" customHeight="true" outlineLevel="0" collapsed="false">
      <c r="A347" s="6" t="s">
        <v>15</v>
      </c>
      <c r="B347" s="6" t="s">
        <v>489</v>
      </c>
      <c r="C347" s="6" t="s">
        <v>569</v>
      </c>
      <c r="D347" s="6" t="s">
        <v>575</v>
      </c>
      <c r="E347" s="14" t="n">
        <v>-23.669494574</v>
      </c>
      <c r="F347" s="14" t="n">
        <v>31.016672592</v>
      </c>
      <c r="G347" s="6" t="n">
        <v>333.985</v>
      </c>
      <c r="H347" s="6" t="s">
        <v>19</v>
      </c>
      <c r="I347" s="6" t="s">
        <v>159</v>
      </c>
      <c r="J347" s="5" t="s">
        <v>160</v>
      </c>
      <c r="K347" s="6" t="s">
        <v>161</v>
      </c>
      <c r="L347" s="6" t="s">
        <v>23</v>
      </c>
      <c r="M347" s="6" t="s">
        <v>163</v>
      </c>
      <c r="N347" s="6" t="s">
        <v>37</v>
      </c>
      <c r="O347" s="6" t="s">
        <v>87</v>
      </c>
    </row>
    <row r="348" customFormat="false" ht="14.25" hidden="false" customHeight="true" outlineLevel="0" collapsed="false">
      <c r="A348" s="6" t="s">
        <v>15</v>
      </c>
      <c r="B348" s="6" t="s">
        <v>489</v>
      </c>
      <c r="C348" s="6" t="s">
        <v>569</v>
      </c>
      <c r="D348" s="6" t="s">
        <v>576</v>
      </c>
      <c r="E348" s="14" t="n">
        <v>-23.667002914</v>
      </c>
      <c r="F348" s="14" t="n">
        <v>31.01621572</v>
      </c>
      <c r="G348" s="6" t="n">
        <v>333.183</v>
      </c>
      <c r="H348" s="6" t="s">
        <v>19</v>
      </c>
      <c r="I348" s="6" t="s">
        <v>159</v>
      </c>
      <c r="J348" s="5" t="s">
        <v>160</v>
      </c>
      <c r="K348" s="6" t="s">
        <v>161</v>
      </c>
      <c r="L348" s="6" t="s">
        <v>23</v>
      </c>
      <c r="M348" s="6" t="s">
        <v>163</v>
      </c>
      <c r="N348" s="6" t="s">
        <v>37</v>
      </c>
      <c r="O348" s="6" t="s">
        <v>87</v>
      </c>
    </row>
    <row r="349" customFormat="false" ht="14.25" hidden="false" customHeight="true" outlineLevel="0" collapsed="false">
      <c r="A349" s="6" t="s">
        <v>15</v>
      </c>
      <c r="B349" s="6" t="s">
        <v>489</v>
      </c>
      <c r="C349" s="6" t="s">
        <v>569</v>
      </c>
      <c r="D349" s="6" t="s">
        <v>577</v>
      </c>
      <c r="E349" s="14" t="n">
        <v>-23.6670697</v>
      </c>
      <c r="F349" s="14" t="n">
        <v>31.016260718</v>
      </c>
      <c r="G349" s="6" t="n">
        <v>335.904</v>
      </c>
      <c r="H349" s="6" t="s">
        <v>19</v>
      </c>
      <c r="I349" s="6" t="s">
        <v>159</v>
      </c>
      <c r="J349" s="5" t="s">
        <v>160</v>
      </c>
      <c r="K349" s="6" t="s">
        <v>161</v>
      </c>
      <c r="L349" s="6" t="s">
        <v>23</v>
      </c>
      <c r="M349" s="6" t="s">
        <v>163</v>
      </c>
      <c r="N349" s="6" t="s">
        <v>37</v>
      </c>
      <c r="O349" s="6" t="s">
        <v>87</v>
      </c>
    </row>
    <row r="350" customFormat="false" ht="14.25" hidden="false" customHeight="true" outlineLevel="0" collapsed="false">
      <c r="A350" s="6" t="s">
        <v>15</v>
      </c>
      <c r="B350" s="6" t="s">
        <v>489</v>
      </c>
      <c r="C350" s="6" t="s">
        <v>569</v>
      </c>
      <c r="D350" s="6" t="s">
        <v>578</v>
      </c>
      <c r="E350" s="14" t="n">
        <v>-23.67741213</v>
      </c>
      <c r="F350" s="14" t="n">
        <v>31.005063317</v>
      </c>
      <c r="G350" s="6" t="n">
        <v>337.243</v>
      </c>
      <c r="H350" s="6" t="s">
        <v>19</v>
      </c>
      <c r="I350" s="6" t="s">
        <v>159</v>
      </c>
      <c r="J350" s="5" t="s">
        <v>160</v>
      </c>
      <c r="K350" s="6" t="s">
        <v>161</v>
      </c>
      <c r="L350" s="6" t="s">
        <v>23</v>
      </c>
      <c r="M350" s="6" t="s">
        <v>163</v>
      </c>
      <c r="N350" s="6" t="s">
        <v>37</v>
      </c>
      <c r="O350" s="6" t="s">
        <v>87</v>
      </c>
    </row>
    <row r="351" customFormat="false" ht="14.25" hidden="false" customHeight="true" outlineLevel="0" collapsed="false">
      <c r="A351" s="6" t="s">
        <v>15</v>
      </c>
      <c r="B351" s="6" t="s">
        <v>489</v>
      </c>
      <c r="C351" s="6" t="s">
        <v>569</v>
      </c>
      <c r="D351" s="6" t="s">
        <v>579</v>
      </c>
      <c r="E351" s="14" t="n">
        <v>-23.677413088</v>
      </c>
      <c r="F351" s="14" t="n">
        <v>31.005053265</v>
      </c>
      <c r="G351" s="6" t="n">
        <v>338.883</v>
      </c>
      <c r="H351" s="6" t="s">
        <v>19</v>
      </c>
      <c r="I351" s="6" t="s">
        <v>159</v>
      </c>
      <c r="J351" s="5" t="s">
        <v>160</v>
      </c>
      <c r="K351" s="6" t="s">
        <v>161</v>
      </c>
      <c r="L351" s="6" t="s">
        <v>23</v>
      </c>
      <c r="M351" s="6" t="s">
        <v>163</v>
      </c>
      <c r="N351" s="6" t="s">
        <v>37</v>
      </c>
      <c r="O351" s="6" t="s">
        <v>87</v>
      </c>
    </row>
    <row r="352" customFormat="false" ht="14.25" hidden="false" customHeight="true" outlineLevel="0" collapsed="false">
      <c r="A352" s="6" t="s">
        <v>15</v>
      </c>
      <c r="B352" s="6" t="s">
        <v>489</v>
      </c>
      <c r="C352" s="6" t="s">
        <v>569</v>
      </c>
      <c r="D352" s="6" t="s">
        <v>580</v>
      </c>
      <c r="E352" s="14" t="n">
        <v>-23.67124507</v>
      </c>
      <c r="F352" s="14" t="n">
        <v>31.017841574</v>
      </c>
      <c r="G352" s="6" t="n">
        <v>328.391</v>
      </c>
      <c r="H352" s="6" t="s">
        <v>19</v>
      </c>
      <c r="I352" s="6" t="s">
        <v>159</v>
      </c>
      <c r="J352" s="5" t="s">
        <v>160</v>
      </c>
      <c r="K352" s="6" t="s">
        <v>161</v>
      </c>
      <c r="L352" s="6" t="s">
        <v>23</v>
      </c>
      <c r="M352" s="6" t="s">
        <v>163</v>
      </c>
      <c r="N352" s="6" t="s">
        <v>37</v>
      </c>
      <c r="O352" s="6" t="s">
        <v>87</v>
      </c>
    </row>
    <row r="353" customFormat="false" ht="14.25" hidden="false" customHeight="true" outlineLevel="0" collapsed="false">
      <c r="A353" s="6" t="s">
        <v>15</v>
      </c>
      <c r="B353" s="6" t="s">
        <v>489</v>
      </c>
      <c r="C353" s="6" t="s">
        <v>569</v>
      </c>
      <c r="D353" s="6" t="s">
        <v>581</v>
      </c>
      <c r="E353" s="14" t="n">
        <v>-23.671308501</v>
      </c>
      <c r="F353" s="14" t="n">
        <v>31.017884338</v>
      </c>
      <c r="G353" s="6" t="n">
        <v>330.151</v>
      </c>
      <c r="H353" s="6" t="s">
        <v>19</v>
      </c>
      <c r="I353" s="6" t="s">
        <v>159</v>
      </c>
      <c r="J353" s="5" t="s">
        <v>160</v>
      </c>
      <c r="K353" s="6" t="s">
        <v>161</v>
      </c>
      <c r="L353" s="6" t="s">
        <v>23</v>
      </c>
      <c r="M353" s="6" t="s">
        <v>163</v>
      </c>
      <c r="N353" s="6" t="s">
        <v>37</v>
      </c>
      <c r="O353" s="6" t="s">
        <v>87</v>
      </c>
    </row>
    <row r="354" customFormat="false" ht="14.25" hidden="false" customHeight="true" outlineLevel="0" collapsed="false">
      <c r="A354" s="6" t="s">
        <v>15</v>
      </c>
      <c r="B354" s="6" t="s">
        <v>489</v>
      </c>
      <c r="C354" s="6" t="s">
        <v>569</v>
      </c>
      <c r="D354" s="6" t="s">
        <v>582</v>
      </c>
      <c r="E354" s="14" t="n">
        <v>-23.671222963</v>
      </c>
      <c r="F354" s="14" t="n">
        <v>31.017831282</v>
      </c>
      <c r="G354" s="6" t="n">
        <v>332.179</v>
      </c>
      <c r="H354" s="6" t="s">
        <v>19</v>
      </c>
      <c r="I354" s="6" t="s">
        <v>159</v>
      </c>
      <c r="J354" s="5" t="s">
        <v>160</v>
      </c>
      <c r="K354" s="6" t="s">
        <v>161</v>
      </c>
      <c r="L354" s="6" t="s">
        <v>23</v>
      </c>
      <c r="M354" s="6" t="s">
        <v>163</v>
      </c>
      <c r="N354" s="6" t="s">
        <v>37</v>
      </c>
      <c r="O354" s="6" t="s">
        <v>87</v>
      </c>
    </row>
    <row r="355" customFormat="false" ht="14.25" hidden="false" customHeight="true" outlineLevel="0" collapsed="false">
      <c r="A355" s="6" t="s">
        <v>15</v>
      </c>
      <c r="B355" s="6" t="s">
        <v>489</v>
      </c>
      <c r="C355" s="6" t="s">
        <v>569</v>
      </c>
      <c r="D355" s="6" t="s">
        <v>583</v>
      </c>
      <c r="E355" s="14" t="n">
        <v>-23.673002919</v>
      </c>
      <c r="F355" s="14" t="n">
        <v>31.01883195</v>
      </c>
      <c r="G355" s="6" t="n">
        <v>328.978</v>
      </c>
      <c r="H355" s="6" t="s">
        <v>19</v>
      </c>
      <c r="I355" s="6" t="s">
        <v>159</v>
      </c>
      <c r="J355" s="5" t="s">
        <v>160</v>
      </c>
      <c r="K355" s="6" t="s">
        <v>161</v>
      </c>
      <c r="L355" s="6" t="s">
        <v>23</v>
      </c>
      <c r="M355" s="6" t="s">
        <v>163</v>
      </c>
      <c r="N355" s="6" t="s">
        <v>37</v>
      </c>
      <c r="O355" s="6" t="s">
        <v>87</v>
      </c>
    </row>
    <row r="356" customFormat="false" ht="14.25" hidden="false" customHeight="true" outlineLevel="0" collapsed="false">
      <c r="A356" s="6" t="s">
        <v>15</v>
      </c>
      <c r="B356" s="6" t="s">
        <v>489</v>
      </c>
      <c r="C356" s="6" t="s">
        <v>569</v>
      </c>
      <c r="D356" s="6" t="s">
        <v>584</v>
      </c>
      <c r="E356" s="14" t="n">
        <v>-23.673047435</v>
      </c>
      <c r="F356" s="14" t="n">
        <v>31.01885731</v>
      </c>
      <c r="G356" s="6" t="n">
        <v>327.363</v>
      </c>
      <c r="H356" s="6" t="s">
        <v>19</v>
      </c>
      <c r="I356" s="6" t="s">
        <v>159</v>
      </c>
      <c r="J356" s="5" t="s">
        <v>160</v>
      </c>
      <c r="K356" s="6" t="s">
        <v>161</v>
      </c>
      <c r="L356" s="6" t="s">
        <v>23</v>
      </c>
      <c r="M356" s="6" t="s">
        <v>163</v>
      </c>
      <c r="N356" s="6" t="s">
        <v>37</v>
      </c>
      <c r="O356" s="6" t="s">
        <v>87</v>
      </c>
    </row>
    <row r="357" customFormat="false" ht="14.25" hidden="false" customHeight="true" outlineLevel="0" collapsed="false">
      <c r="A357" s="6" t="s">
        <v>15</v>
      </c>
      <c r="B357" s="6" t="s">
        <v>489</v>
      </c>
      <c r="C357" s="6" t="s">
        <v>569</v>
      </c>
      <c r="D357" s="6" t="s">
        <v>585</v>
      </c>
      <c r="E357" s="14" t="n">
        <v>-23.661769123</v>
      </c>
      <c r="F357" s="14" t="n">
        <v>31.046823055</v>
      </c>
      <c r="G357" s="6" t="n">
        <v>328.039</v>
      </c>
      <c r="H357" s="6" t="s">
        <v>19</v>
      </c>
      <c r="I357" s="6" t="s">
        <v>159</v>
      </c>
      <c r="J357" s="5" t="s">
        <v>160</v>
      </c>
      <c r="K357" s="6" t="s">
        <v>161</v>
      </c>
      <c r="L357" s="6" t="s">
        <v>23</v>
      </c>
      <c r="M357" s="6" t="s">
        <v>163</v>
      </c>
      <c r="N357" s="6" t="s">
        <v>37</v>
      </c>
      <c r="O357" s="6" t="s">
        <v>87</v>
      </c>
    </row>
    <row r="358" customFormat="false" ht="14.25" hidden="false" customHeight="true" outlineLevel="0" collapsed="false">
      <c r="A358" s="6" t="s">
        <v>15</v>
      </c>
      <c r="B358" s="6" t="s">
        <v>489</v>
      </c>
      <c r="C358" s="6" t="s">
        <v>569</v>
      </c>
      <c r="D358" s="6" t="s">
        <v>586</v>
      </c>
      <c r="E358" s="14" t="n">
        <v>-23.661764275</v>
      </c>
      <c r="F358" s="14" t="n">
        <v>31.046805745</v>
      </c>
      <c r="G358" s="6" t="n">
        <v>330.826</v>
      </c>
      <c r="H358" s="6" t="s">
        <v>19</v>
      </c>
      <c r="I358" s="6" t="s">
        <v>159</v>
      </c>
      <c r="J358" s="5" t="s">
        <v>160</v>
      </c>
      <c r="K358" s="6" t="s">
        <v>161</v>
      </c>
      <c r="L358" s="6" t="s">
        <v>23</v>
      </c>
      <c r="M358" s="6" t="s">
        <v>163</v>
      </c>
      <c r="N358" s="6" t="s">
        <v>37</v>
      </c>
      <c r="O358" s="6" t="s">
        <v>87</v>
      </c>
    </row>
    <row r="359" customFormat="false" ht="14.25" hidden="false" customHeight="true" outlineLevel="0" collapsed="false">
      <c r="A359" s="6" t="s">
        <v>15</v>
      </c>
      <c r="B359" s="6" t="s">
        <v>489</v>
      </c>
      <c r="C359" s="6" t="s">
        <v>569</v>
      </c>
      <c r="D359" s="6" t="s">
        <v>587</v>
      </c>
      <c r="E359" s="14" t="n">
        <v>-23.66293473</v>
      </c>
      <c r="F359" s="14" t="n">
        <v>31.045922747</v>
      </c>
      <c r="G359" s="6" t="n">
        <v>324.7</v>
      </c>
      <c r="H359" s="6" t="s">
        <v>19</v>
      </c>
      <c r="I359" s="6" t="s">
        <v>159</v>
      </c>
      <c r="J359" s="5" t="s">
        <v>160</v>
      </c>
      <c r="K359" s="6" t="s">
        <v>161</v>
      </c>
      <c r="L359" s="6" t="s">
        <v>23</v>
      </c>
      <c r="M359" s="6" t="s">
        <v>163</v>
      </c>
      <c r="N359" s="6" t="s">
        <v>37</v>
      </c>
      <c r="O359" s="6" t="s">
        <v>87</v>
      </c>
    </row>
    <row r="360" customFormat="false" ht="14.25" hidden="false" customHeight="true" outlineLevel="0" collapsed="false">
      <c r="A360" s="6" t="s">
        <v>15</v>
      </c>
      <c r="B360" s="6" t="s">
        <v>489</v>
      </c>
      <c r="C360" s="6" t="s">
        <v>569</v>
      </c>
      <c r="D360" s="6" t="s">
        <v>588</v>
      </c>
      <c r="E360" s="14" t="n">
        <v>-23.662913645</v>
      </c>
      <c r="F360" s="14" t="n">
        <v>31.045961774</v>
      </c>
      <c r="G360" s="6" t="n">
        <v>331.089</v>
      </c>
      <c r="H360" s="6" t="s">
        <v>19</v>
      </c>
      <c r="I360" s="6" t="s">
        <v>159</v>
      </c>
      <c r="J360" s="5" t="s">
        <v>160</v>
      </c>
      <c r="K360" s="6" t="s">
        <v>161</v>
      </c>
      <c r="L360" s="6" t="s">
        <v>23</v>
      </c>
      <c r="M360" s="6" t="s">
        <v>163</v>
      </c>
      <c r="N360" s="6" t="s">
        <v>37</v>
      </c>
      <c r="O360" s="6" t="s">
        <v>87</v>
      </c>
    </row>
    <row r="361" customFormat="false" ht="14.25" hidden="false" customHeight="true" outlineLevel="0" collapsed="false">
      <c r="A361" s="6" t="s">
        <v>15</v>
      </c>
      <c r="B361" s="6" t="s">
        <v>489</v>
      </c>
      <c r="C361" s="6" t="s">
        <v>569</v>
      </c>
      <c r="D361" s="6" t="s">
        <v>589</v>
      </c>
      <c r="E361" s="14" t="n">
        <v>-23.666323042</v>
      </c>
      <c r="F361" s="14" t="n">
        <v>31.040506466</v>
      </c>
      <c r="G361" s="6" t="n">
        <v>330.907</v>
      </c>
      <c r="H361" s="6" t="s">
        <v>19</v>
      </c>
      <c r="I361" s="6" t="s">
        <v>159</v>
      </c>
      <c r="J361" s="5" t="s">
        <v>160</v>
      </c>
      <c r="K361" s="6" t="s">
        <v>161</v>
      </c>
      <c r="L361" s="6" t="s">
        <v>23</v>
      </c>
      <c r="M361" s="6" t="s">
        <v>163</v>
      </c>
      <c r="N361" s="6" t="s">
        <v>37</v>
      </c>
      <c r="O361" s="6" t="s">
        <v>87</v>
      </c>
    </row>
    <row r="362" customFormat="false" ht="14.25" hidden="false" customHeight="true" outlineLevel="0" collapsed="false">
      <c r="A362" s="6" t="s">
        <v>15</v>
      </c>
      <c r="B362" s="6" t="s">
        <v>489</v>
      </c>
      <c r="C362" s="6" t="s">
        <v>569</v>
      </c>
      <c r="D362" s="6" t="s">
        <v>590</v>
      </c>
      <c r="E362" s="14" t="n">
        <v>-23.666330049</v>
      </c>
      <c r="F362" s="14" t="n">
        <v>31.040511463</v>
      </c>
      <c r="G362" s="6" t="n">
        <v>329.536</v>
      </c>
      <c r="H362" s="6" t="s">
        <v>19</v>
      </c>
      <c r="I362" s="6" t="s">
        <v>159</v>
      </c>
      <c r="J362" s="5" t="s">
        <v>160</v>
      </c>
      <c r="K362" s="6" t="s">
        <v>161</v>
      </c>
      <c r="L362" s="6" t="s">
        <v>23</v>
      </c>
      <c r="M362" s="6" t="s">
        <v>163</v>
      </c>
      <c r="N362" s="6" t="s">
        <v>37</v>
      </c>
      <c r="O362" s="6" t="s">
        <v>87</v>
      </c>
    </row>
    <row r="363" customFormat="false" ht="14.25" hidden="false" customHeight="true" outlineLevel="0" collapsed="false">
      <c r="A363" s="6" t="s">
        <v>15</v>
      </c>
      <c r="B363" s="6" t="s">
        <v>489</v>
      </c>
      <c r="C363" s="6" t="s">
        <v>569</v>
      </c>
      <c r="D363" s="6" t="s">
        <v>591</v>
      </c>
      <c r="E363" s="14" t="n">
        <v>-23.661232653</v>
      </c>
      <c r="F363" s="14" t="n">
        <v>31.047126602</v>
      </c>
      <c r="G363" s="6" t="n">
        <v>326.855</v>
      </c>
      <c r="H363" s="6" t="s">
        <v>19</v>
      </c>
      <c r="I363" s="6" t="s">
        <v>159</v>
      </c>
      <c r="J363" s="5" t="s">
        <v>160</v>
      </c>
      <c r="K363" s="6" t="s">
        <v>161</v>
      </c>
      <c r="L363" s="6" t="s">
        <v>23</v>
      </c>
      <c r="M363" s="6" t="s">
        <v>163</v>
      </c>
      <c r="N363" s="6" t="s">
        <v>37</v>
      </c>
      <c r="O363" s="6" t="s">
        <v>87</v>
      </c>
    </row>
    <row r="364" customFormat="false" ht="14.25" hidden="false" customHeight="true" outlineLevel="0" collapsed="false">
      <c r="A364" s="6" t="s">
        <v>15</v>
      </c>
      <c r="B364" s="6" t="s">
        <v>489</v>
      </c>
      <c r="C364" s="6" t="s">
        <v>569</v>
      </c>
      <c r="D364" s="6" t="s">
        <v>592</v>
      </c>
      <c r="E364" s="14" t="n">
        <v>-23.669463099</v>
      </c>
      <c r="F364" s="14" t="n">
        <v>31.04241163</v>
      </c>
      <c r="G364" s="6" t="n">
        <v>327.109</v>
      </c>
      <c r="H364" s="6" t="s">
        <v>19</v>
      </c>
      <c r="I364" s="6" t="s">
        <v>159</v>
      </c>
      <c r="J364" s="5" t="s">
        <v>160</v>
      </c>
      <c r="K364" s="6" t="s">
        <v>161</v>
      </c>
      <c r="L364" s="6" t="s">
        <v>23</v>
      </c>
      <c r="M364" s="6" t="s">
        <v>163</v>
      </c>
      <c r="N364" s="6" t="s">
        <v>37</v>
      </c>
      <c r="O364" s="6" t="s">
        <v>87</v>
      </c>
    </row>
    <row r="365" customFormat="false" ht="14.25" hidden="false" customHeight="true" outlineLevel="0" collapsed="false">
      <c r="A365" s="6" t="s">
        <v>15</v>
      </c>
      <c r="B365" s="6" t="s">
        <v>489</v>
      </c>
      <c r="C365" s="6" t="s">
        <v>569</v>
      </c>
      <c r="D365" s="6" t="s">
        <v>593</v>
      </c>
      <c r="E365" s="14" t="n">
        <v>-23.669447874</v>
      </c>
      <c r="F365" s="14" t="n">
        <v>31.042414074</v>
      </c>
      <c r="G365" s="6" t="n">
        <v>326.388</v>
      </c>
      <c r="H365" s="6" t="s">
        <v>19</v>
      </c>
      <c r="I365" s="6" t="s">
        <v>159</v>
      </c>
      <c r="J365" s="5" t="s">
        <v>160</v>
      </c>
      <c r="K365" s="6" t="s">
        <v>161</v>
      </c>
      <c r="L365" s="6" t="s">
        <v>23</v>
      </c>
      <c r="M365" s="6" t="s">
        <v>163</v>
      </c>
      <c r="N365" s="6" t="s">
        <v>37</v>
      </c>
      <c r="O365" s="6" t="s">
        <v>87</v>
      </c>
    </row>
    <row r="366" customFormat="false" ht="14.25" hidden="false" customHeight="true" outlineLevel="0" collapsed="false">
      <c r="A366" s="6" t="s">
        <v>15</v>
      </c>
      <c r="B366" s="6" t="s">
        <v>489</v>
      </c>
      <c r="C366" s="6" t="s">
        <v>569</v>
      </c>
      <c r="D366" s="6" t="s">
        <v>594</v>
      </c>
      <c r="E366" s="14" t="n">
        <v>-23.662268314</v>
      </c>
      <c r="F366" s="14" t="n">
        <v>31.049551881</v>
      </c>
      <c r="G366" s="6" t="n">
        <v>327.444</v>
      </c>
      <c r="H366" s="6" t="s">
        <v>19</v>
      </c>
      <c r="I366" s="6" t="s">
        <v>159</v>
      </c>
      <c r="J366" s="5" t="s">
        <v>160</v>
      </c>
      <c r="K366" s="6" t="s">
        <v>161</v>
      </c>
      <c r="L366" s="6" t="s">
        <v>23</v>
      </c>
      <c r="M366" s="6" t="s">
        <v>163</v>
      </c>
      <c r="N366" s="6" t="s">
        <v>37</v>
      </c>
      <c r="O366" s="6" t="s">
        <v>87</v>
      </c>
    </row>
    <row r="367" customFormat="false" ht="14.25" hidden="false" customHeight="true" outlineLevel="0" collapsed="false">
      <c r="A367" s="6" t="s">
        <v>15</v>
      </c>
      <c r="B367" s="6" t="s">
        <v>489</v>
      </c>
      <c r="C367" s="6" t="s">
        <v>569</v>
      </c>
      <c r="D367" s="6" t="s">
        <v>595</v>
      </c>
      <c r="E367" s="14" t="n">
        <v>-23.66226981</v>
      </c>
      <c r="F367" s="14" t="n">
        <v>31.049502905</v>
      </c>
      <c r="G367" s="6" t="n">
        <v>328.971</v>
      </c>
      <c r="H367" s="6" t="s">
        <v>19</v>
      </c>
      <c r="I367" s="6" t="s">
        <v>159</v>
      </c>
      <c r="J367" s="5" t="s">
        <v>160</v>
      </c>
      <c r="K367" s="6" t="s">
        <v>161</v>
      </c>
      <c r="L367" s="6" t="s">
        <v>23</v>
      </c>
      <c r="M367" s="6" t="s">
        <v>163</v>
      </c>
      <c r="N367" s="6" t="s">
        <v>37</v>
      </c>
      <c r="O367" s="6" t="s">
        <v>87</v>
      </c>
    </row>
    <row r="368" customFormat="false" ht="14.25" hidden="false" customHeight="true" outlineLevel="0" collapsed="false">
      <c r="A368" s="6" t="s">
        <v>15</v>
      </c>
      <c r="B368" s="6" t="s">
        <v>489</v>
      </c>
      <c r="C368" s="6" t="s">
        <v>569</v>
      </c>
      <c r="D368" s="6" t="s">
        <v>596</v>
      </c>
      <c r="E368" s="14" t="n">
        <v>-23.659273246</v>
      </c>
      <c r="F368" s="14" t="n">
        <v>31.04866</v>
      </c>
      <c r="G368" s="6" t="n">
        <v>316.063</v>
      </c>
      <c r="H368" s="6" t="s">
        <v>19</v>
      </c>
      <c r="I368" s="6" t="s">
        <v>159</v>
      </c>
      <c r="J368" s="5" t="s">
        <v>160</v>
      </c>
      <c r="K368" s="6" t="s">
        <v>161</v>
      </c>
      <c r="L368" s="6" t="s">
        <v>23</v>
      </c>
      <c r="M368" s="6" t="s">
        <v>163</v>
      </c>
      <c r="N368" s="6" t="s">
        <v>37</v>
      </c>
      <c r="O368" s="6" t="s">
        <v>87</v>
      </c>
    </row>
    <row r="369" customFormat="false" ht="14.25" hidden="false" customHeight="true" outlineLevel="0" collapsed="false">
      <c r="A369" s="6" t="s">
        <v>15</v>
      </c>
      <c r="B369" s="6" t="s">
        <v>489</v>
      </c>
      <c r="C369" s="6" t="s">
        <v>569</v>
      </c>
      <c r="D369" s="6" t="s">
        <v>597</v>
      </c>
      <c r="E369" s="14" t="n">
        <v>-23.65996429</v>
      </c>
      <c r="F369" s="14" t="n">
        <v>31.048604409</v>
      </c>
      <c r="G369" s="6" t="n">
        <v>317.902</v>
      </c>
      <c r="H369" s="6" t="s">
        <v>19</v>
      </c>
      <c r="I369" s="6" t="s">
        <v>159</v>
      </c>
      <c r="J369" s="5" t="s">
        <v>160</v>
      </c>
      <c r="K369" s="6" t="s">
        <v>161</v>
      </c>
      <c r="L369" s="6" t="s">
        <v>23</v>
      </c>
      <c r="M369" s="6" t="s">
        <v>163</v>
      </c>
      <c r="N369" s="6" t="s">
        <v>37</v>
      </c>
      <c r="O369" s="6" t="s">
        <v>87</v>
      </c>
    </row>
    <row r="370" customFormat="false" ht="14.25" hidden="false" customHeight="true" outlineLevel="0" collapsed="false">
      <c r="A370" s="6" t="s">
        <v>15</v>
      </c>
      <c r="B370" s="6" t="s">
        <v>489</v>
      </c>
      <c r="C370" s="6" t="s">
        <v>569</v>
      </c>
      <c r="D370" s="6" t="s">
        <v>598</v>
      </c>
      <c r="E370" s="14" t="n">
        <v>-23.670703587</v>
      </c>
      <c r="F370" s="6" t="n">
        <v>30.989554651</v>
      </c>
      <c r="G370" s="6" t="n">
        <v>322.889</v>
      </c>
      <c r="H370" s="6" t="s">
        <v>19</v>
      </c>
      <c r="I370" s="6" t="s">
        <v>159</v>
      </c>
      <c r="J370" s="5" t="s">
        <v>160</v>
      </c>
      <c r="K370" s="6" t="s">
        <v>161</v>
      </c>
      <c r="L370" s="6" t="s">
        <v>519</v>
      </c>
      <c r="M370" s="6" t="s">
        <v>163</v>
      </c>
      <c r="N370" s="6" t="s">
        <v>37</v>
      </c>
      <c r="O370" s="6" t="s">
        <v>87</v>
      </c>
    </row>
    <row r="371" customFormat="false" ht="14.25" hidden="false" customHeight="true" outlineLevel="0" collapsed="false">
      <c r="A371" s="6" t="s">
        <v>15</v>
      </c>
      <c r="B371" s="6" t="s">
        <v>489</v>
      </c>
      <c r="C371" s="6" t="s">
        <v>599</v>
      </c>
      <c r="D371" s="6" t="s">
        <v>600</v>
      </c>
      <c r="E371" s="14" t="n">
        <v>-24.5528</v>
      </c>
      <c r="F371" s="14" t="n">
        <v>30.894998</v>
      </c>
      <c r="G371" s="14" t="n">
        <v>1489</v>
      </c>
      <c r="H371" s="6" t="s">
        <v>33</v>
      </c>
      <c r="I371" s="6" t="s">
        <v>601</v>
      </c>
      <c r="J371" s="6" t="s">
        <v>356</v>
      </c>
      <c r="K371" s="6" t="s">
        <v>602</v>
      </c>
      <c r="L371" s="6" t="s">
        <v>603</v>
      </c>
      <c r="M371" s="6" t="s">
        <v>163</v>
      </c>
      <c r="N371" s="6" t="s">
        <v>37</v>
      </c>
      <c r="O371" s="6" t="s">
        <v>87</v>
      </c>
    </row>
    <row r="372" customFormat="false" ht="14.25" hidden="false" customHeight="true" outlineLevel="0" collapsed="false">
      <c r="A372" s="6" t="s">
        <v>15</v>
      </c>
      <c r="B372" s="6" t="s">
        <v>489</v>
      </c>
      <c r="C372" s="6" t="s">
        <v>599</v>
      </c>
      <c r="D372" s="6" t="s">
        <v>604</v>
      </c>
      <c r="E372" s="14" t="n">
        <v>-24.5528</v>
      </c>
      <c r="F372" s="14" t="n">
        <v>30.894998</v>
      </c>
      <c r="G372" s="14" t="n">
        <v>1489</v>
      </c>
      <c r="H372" s="6" t="s">
        <v>33</v>
      </c>
      <c r="I372" s="6" t="s">
        <v>605</v>
      </c>
      <c r="J372" s="6" t="s">
        <v>606</v>
      </c>
      <c r="K372" s="6" t="s">
        <v>602</v>
      </c>
      <c r="L372" s="6" t="s">
        <v>603</v>
      </c>
      <c r="M372" s="6" t="s">
        <v>163</v>
      </c>
      <c r="N372" s="6" t="s">
        <v>37</v>
      </c>
      <c r="O372" s="6" t="s">
        <v>87</v>
      </c>
    </row>
    <row r="373" customFormat="false" ht="14.25" hidden="false" customHeight="true" outlineLevel="0" collapsed="false">
      <c r="A373" s="6" t="s">
        <v>15</v>
      </c>
      <c r="B373" s="6" t="s">
        <v>489</v>
      </c>
      <c r="C373" s="6" t="s">
        <v>599</v>
      </c>
      <c r="D373" s="6" t="s">
        <v>607</v>
      </c>
      <c r="E373" s="14" t="n">
        <v>-24.5531</v>
      </c>
      <c r="F373" s="14" t="n">
        <v>30.87017</v>
      </c>
      <c r="G373" s="14" t="n">
        <v>1883</v>
      </c>
      <c r="H373" s="6" t="s">
        <v>33</v>
      </c>
      <c r="I373" s="6" t="s">
        <v>601</v>
      </c>
      <c r="J373" s="6" t="s">
        <v>356</v>
      </c>
      <c r="K373" s="6" t="s">
        <v>602</v>
      </c>
      <c r="L373" s="6" t="s">
        <v>603</v>
      </c>
      <c r="M373" s="6" t="s">
        <v>163</v>
      </c>
      <c r="N373" s="6" t="s">
        <v>37</v>
      </c>
      <c r="O373" s="6" t="s">
        <v>87</v>
      </c>
    </row>
    <row r="374" customFormat="false" ht="14.25" hidden="false" customHeight="true" outlineLevel="0" collapsed="false">
      <c r="A374" s="6" t="s">
        <v>15</v>
      </c>
      <c r="B374" s="6" t="s">
        <v>489</v>
      </c>
      <c r="C374" s="6" t="s">
        <v>599</v>
      </c>
      <c r="D374" s="6" t="s">
        <v>608</v>
      </c>
      <c r="E374" s="14" t="n">
        <v>-24.6052</v>
      </c>
      <c r="F374" s="14" t="n">
        <v>30.871964</v>
      </c>
      <c r="G374" s="14" t="n">
        <v>1342</v>
      </c>
      <c r="H374" s="6" t="s">
        <v>33</v>
      </c>
      <c r="I374" s="6" t="s">
        <v>601</v>
      </c>
      <c r="J374" s="6" t="s">
        <v>356</v>
      </c>
      <c r="K374" s="6" t="s">
        <v>602</v>
      </c>
      <c r="L374" s="6" t="s">
        <v>603</v>
      </c>
      <c r="M374" s="6" t="s">
        <v>163</v>
      </c>
      <c r="N374" s="6" t="s">
        <v>37</v>
      </c>
      <c r="O374" s="6" t="s">
        <v>87</v>
      </c>
    </row>
    <row r="375" customFormat="false" ht="14.25" hidden="false" customHeight="true" outlineLevel="0" collapsed="false">
      <c r="A375" s="6" t="s">
        <v>15</v>
      </c>
      <c r="B375" s="6" t="s">
        <v>489</v>
      </c>
      <c r="C375" s="6" t="s">
        <v>609</v>
      </c>
      <c r="D375" s="6" t="s">
        <v>610</v>
      </c>
      <c r="E375" s="14" t="n">
        <v>-23.5255</v>
      </c>
      <c r="F375" s="14" t="n">
        <v>31.116587</v>
      </c>
      <c r="G375" s="14" t="n">
        <v>335</v>
      </c>
      <c r="H375" s="6" t="s">
        <v>19</v>
      </c>
      <c r="I375" s="6" t="s">
        <v>611</v>
      </c>
      <c r="J375" s="6" t="s">
        <v>612</v>
      </c>
      <c r="K375" s="6" t="s">
        <v>613</v>
      </c>
      <c r="L375" s="6" t="s">
        <v>614</v>
      </c>
      <c r="M375" s="6" t="s">
        <v>163</v>
      </c>
      <c r="N375" s="6" t="s">
        <v>37</v>
      </c>
      <c r="O375" s="6" t="s">
        <v>87</v>
      </c>
    </row>
    <row r="376" customFormat="false" ht="14.25" hidden="false" customHeight="true" outlineLevel="0" collapsed="false">
      <c r="A376" s="6" t="s">
        <v>15</v>
      </c>
      <c r="B376" s="6" t="s">
        <v>489</v>
      </c>
      <c r="C376" s="6" t="s">
        <v>609</v>
      </c>
      <c r="D376" s="6" t="s">
        <v>615</v>
      </c>
      <c r="E376" s="14" t="n">
        <v>-23.5255</v>
      </c>
      <c r="F376" s="14" t="n">
        <v>31.116649</v>
      </c>
      <c r="G376" s="14" t="n">
        <v>335</v>
      </c>
      <c r="H376" s="6" t="s">
        <v>19</v>
      </c>
      <c r="I376" s="6" t="s">
        <v>611</v>
      </c>
      <c r="J376" s="6" t="s">
        <v>612</v>
      </c>
      <c r="K376" s="6" t="s">
        <v>613</v>
      </c>
      <c r="L376" s="6" t="s">
        <v>614</v>
      </c>
      <c r="M376" s="6" t="s">
        <v>163</v>
      </c>
      <c r="N376" s="6" t="s">
        <v>37</v>
      </c>
      <c r="O376" s="6" t="s">
        <v>87</v>
      </c>
    </row>
    <row r="377" customFormat="false" ht="14.25" hidden="false" customHeight="true" outlineLevel="0" collapsed="false">
      <c r="A377" s="6" t="s">
        <v>15</v>
      </c>
      <c r="B377" s="6" t="s">
        <v>489</v>
      </c>
      <c r="C377" s="6" t="s">
        <v>609</v>
      </c>
      <c r="D377" s="6" t="s">
        <v>616</v>
      </c>
      <c r="E377" s="14" t="n">
        <v>-23.5249</v>
      </c>
      <c r="F377" s="14" t="n">
        <v>31.112234</v>
      </c>
      <c r="G377" s="14" t="n">
        <v>337</v>
      </c>
      <c r="H377" s="6" t="s">
        <v>19</v>
      </c>
      <c r="I377" s="6" t="s">
        <v>611</v>
      </c>
      <c r="J377" s="6" t="s">
        <v>612</v>
      </c>
      <c r="K377" s="6" t="s">
        <v>613</v>
      </c>
      <c r="L377" s="6" t="s">
        <v>614</v>
      </c>
      <c r="M377" s="6" t="s">
        <v>163</v>
      </c>
      <c r="N377" s="6" t="s">
        <v>37</v>
      </c>
      <c r="O377" s="6" t="s">
        <v>87</v>
      </c>
    </row>
    <row r="378" customFormat="false" ht="14.25" hidden="false" customHeight="true" outlineLevel="0" collapsed="false">
      <c r="A378" s="6" t="s">
        <v>15</v>
      </c>
      <c r="B378" s="6" t="s">
        <v>489</v>
      </c>
      <c r="C378" s="6" t="s">
        <v>609</v>
      </c>
      <c r="D378" s="6" t="s">
        <v>617</v>
      </c>
      <c r="E378" s="14" t="n">
        <v>-23.5249</v>
      </c>
      <c r="F378" s="14" t="n">
        <v>31.112135</v>
      </c>
      <c r="G378" s="14" t="n">
        <v>337</v>
      </c>
      <c r="H378" s="6" t="s">
        <v>19</v>
      </c>
      <c r="I378" s="6" t="s">
        <v>611</v>
      </c>
      <c r="J378" s="6" t="s">
        <v>612</v>
      </c>
      <c r="K378" s="6" t="s">
        <v>613</v>
      </c>
      <c r="L378" s="6" t="s">
        <v>614</v>
      </c>
      <c r="M378" s="6" t="s">
        <v>163</v>
      </c>
      <c r="N378" s="6" t="s">
        <v>37</v>
      </c>
      <c r="O378" s="6" t="s">
        <v>87</v>
      </c>
    </row>
    <row r="379" customFormat="false" ht="14.25" hidden="false" customHeight="true" outlineLevel="0" collapsed="false">
      <c r="A379" s="6" t="s">
        <v>15</v>
      </c>
      <c r="B379" s="6" t="s">
        <v>489</v>
      </c>
      <c r="C379" s="6" t="s">
        <v>609</v>
      </c>
      <c r="D379" s="6" t="s">
        <v>618</v>
      </c>
      <c r="E379" s="14" t="n">
        <v>-23.5268</v>
      </c>
      <c r="F379" s="14" t="n">
        <v>31.108974</v>
      </c>
      <c r="G379" s="14" t="n">
        <v>338</v>
      </c>
      <c r="H379" s="6" t="s">
        <v>19</v>
      </c>
      <c r="I379" s="6" t="s">
        <v>611</v>
      </c>
      <c r="J379" s="6" t="s">
        <v>612</v>
      </c>
      <c r="K379" s="6" t="s">
        <v>613</v>
      </c>
      <c r="L379" s="6" t="s">
        <v>614</v>
      </c>
      <c r="M379" s="6" t="s">
        <v>163</v>
      </c>
      <c r="N379" s="6" t="s">
        <v>37</v>
      </c>
      <c r="O379" s="6" t="s">
        <v>87</v>
      </c>
    </row>
    <row r="380" customFormat="false" ht="14.25" hidden="false" customHeight="true" outlineLevel="0" collapsed="false">
      <c r="A380" s="6" t="s">
        <v>15</v>
      </c>
      <c r="B380" s="6" t="s">
        <v>489</v>
      </c>
      <c r="C380" s="6" t="s">
        <v>609</v>
      </c>
      <c r="D380" s="6" t="s">
        <v>619</v>
      </c>
      <c r="E380" s="14" t="n">
        <v>-23.5267</v>
      </c>
      <c r="F380" s="14" t="n">
        <v>31.109033</v>
      </c>
      <c r="G380" s="14" t="n">
        <v>338</v>
      </c>
      <c r="H380" s="6" t="s">
        <v>19</v>
      </c>
      <c r="I380" s="6" t="s">
        <v>611</v>
      </c>
      <c r="J380" s="6" t="s">
        <v>612</v>
      </c>
      <c r="K380" s="6" t="s">
        <v>613</v>
      </c>
      <c r="L380" s="6" t="s">
        <v>614</v>
      </c>
      <c r="M380" s="6" t="s">
        <v>163</v>
      </c>
      <c r="N380" s="6" t="s">
        <v>37</v>
      </c>
      <c r="O380" s="6" t="s">
        <v>87</v>
      </c>
    </row>
    <row r="381" customFormat="false" ht="14.25" hidden="false" customHeight="true" outlineLevel="0" collapsed="false">
      <c r="A381" s="6" t="s">
        <v>15</v>
      </c>
      <c r="B381" s="6" t="s">
        <v>489</v>
      </c>
      <c r="C381" s="6" t="s">
        <v>609</v>
      </c>
      <c r="D381" s="6" t="s">
        <v>620</v>
      </c>
      <c r="E381" s="14" t="n">
        <v>-23.5268</v>
      </c>
      <c r="F381" s="14" t="n">
        <v>31.10913</v>
      </c>
      <c r="G381" s="14" t="n">
        <v>338</v>
      </c>
      <c r="H381" s="6" t="s">
        <v>33</v>
      </c>
      <c r="I381" s="6" t="s">
        <v>601</v>
      </c>
      <c r="J381" s="6" t="s">
        <v>356</v>
      </c>
      <c r="K381" s="6" t="s">
        <v>286</v>
      </c>
      <c r="L381" s="6" t="s">
        <v>287</v>
      </c>
      <c r="M381" s="6" t="s">
        <v>163</v>
      </c>
      <c r="N381" s="6" t="s">
        <v>37</v>
      </c>
      <c r="O381" s="6" t="s">
        <v>87</v>
      </c>
    </row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5:F5 A1"/>
    </sheetView>
  </sheetViews>
  <sheetFormatPr defaultRowHeight="15" zeroHeight="false" outlineLevelRow="0" outlineLevelCol="0"/>
  <cols>
    <col collapsed="false" customWidth="true" hidden="false" outlineLevel="0" max="1025" min="1" style="0" width="12.6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5:F5 A1"/>
    </sheetView>
  </sheetViews>
  <sheetFormatPr defaultRowHeight="15" zeroHeight="false" outlineLevelRow="0" outlineLevelCol="0"/>
  <cols>
    <col collapsed="false" customWidth="true" hidden="false" outlineLevel="0" max="1" min="1" style="0" width="25.63"/>
    <col collapsed="false" customWidth="true" hidden="false" outlineLevel="0" max="2" min="2" style="0" width="13.5"/>
    <col collapsed="false" customWidth="true" hidden="false" outlineLevel="0" max="26" min="3" style="0" width="7.75"/>
    <col collapsed="false" customWidth="true" hidden="false" outlineLevel="0" max="1025" min="27" style="0" width="12.63"/>
  </cols>
  <sheetData>
    <row r="1" customFormat="false" ht="14.25" hidden="false" customHeight="true" outlineLevel="0" collapsed="false">
      <c r="A1" s="7"/>
      <c r="B1" s="7"/>
      <c r="C1" s="7"/>
      <c r="D1" s="7"/>
      <c r="E1" s="7"/>
      <c r="F1" s="7"/>
      <c r="G1" s="7"/>
      <c r="H1" s="7"/>
      <c r="I1" s="7"/>
      <c r="J1" s="7"/>
    </row>
    <row r="2" customFormat="false" ht="14.25" hidden="false" customHeight="true" outlineLevel="0" collapsed="false">
      <c r="A2" s="3" t="s">
        <v>621</v>
      </c>
      <c r="B2" s="27" t="n">
        <v>43942</v>
      </c>
      <c r="C2" s="7"/>
      <c r="D2" s="7"/>
      <c r="E2" s="7"/>
      <c r="F2" s="7"/>
      <c r="G2" s="7"/>
      <c r="H2" s="7"/>
      <c r="I2" s="7"/>
      <c r="J2" s="7"/>
    </row>
    <row r="3" customFormat="false" ht="14.25" hidden="false" customHeight="true" outlineLevel="0" collapsed="false">
      <c r="A3" s="3" t="s">
        <v>622</v>
      </c>
      <c r="B3" s="7" t="s">
        <v>623</v>
      </c>
      <c r="C3" s="7"/>
      <c r="D3" s="7"/>
      <c r="E3" s="7"/>
      <c r="F3" s="7"/>
      <c r="G3" s="7"/>
      <c r="H3" s="7"/>
      <c r="I3" s="7"/>
      <c r="J3" s="7"/>
    </row>
    <row r="4" customFormat="false" ht="14.25" hidden="false" customHeight="tru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</row>
    <row r="6" customFormat="false" ht="14.25" hidden="false" customHeight="true" outlineLevel="0" collapsed="false">
      <c r="A6" s="3" t="s">
        <v>624</v>
      </c>
      <c r="B6" s="7" t="s">
        <v>0</v>
      </c>
      <c r="C6" s="7" t="s">
        <v>625</v>
      </c>
    </row>
    <row r="7" customFormat="false" ht="14.25" hidden="false" customHeight="true" outlineLevel="0" collapsed="false">
      <c r="B7" s="7" t="s">
        <v>2</v>
      </c>
      <c r="C7" s="7" t="s">
        <v>626</v>
      </c>
    </row>
    <row r="8" customFormat="false" ht="14.25" hidden="false" customHeight="true" outlineLevel="0" collapsed="false">
      <c r="B8" s="7" t="s">
        <v>3</v>
      </c>
      <c r="C8" s="7" t="s">
        <v>627</v>
      </c>
    </row>
    <row r="9" customFormat="false" ht="14.25" hidden="false" customHeight="true" outlineLevel="0" collapsed="false">
      <c r="B9" s="7" t="s">
        <v>4</v>
      </c>
      <c r="C9" s="7" t="s">
        <v>628</v>
      </c>
    </row>
    <row r="10" customFormat="false" ht="14.25" hidden="false" customHeight="true" outlineLevel="0" collapsed="false">
      <c r="B10" s="7" t="s">
        <v>5</v>
      </c>
      <c r="C10" s="7" t="s">
        <v>629</v>
      </c>
    </row>
    <row r="11" customFormat="false" ht="14.25" hidden="false" customHeight="true" outlineLevel="0" collapsed="false">
      <c r="B11" s="7" t="s">
        <v>6</v>
      </c>
      <c r="C11" s="7" t="s">
        <v>630</v>
      </c>
    </row>
    <row r="12" customFormat="false" ht="14.25" hidden="false" customHeight="true" outlineLevel="0" collapsed="false">
      <c r="B12" s="7" t="s">
        <v>7</v>
      </c>
      <c r="C12" s="7" t="s">
        <v>631</v>
      </c>
    </row>
    <row r="13" customFormat="false" ht="14.25" hidden="false" customHeight="true" outlineLevel="0" collapsed="false">
      <c r="B13" s="7" t="s">
        <v>8</v>
      </c>
      <c r="C13" s="7" t="s">
        <v>632</v>
      </c>
    </row>
    <row r="14" customFormat="false" ht="14.25" hidden="false" customHeight="true" outlineLevel="0" collapsed="false">
      <c r="B14" s="7" t="s">
        <v>10</v>
      </c>
      <c r="C14" s="7" t="s">
        <v>633</v>
      </c>
    </row>
    <row r="15" customFormat="false" ht="14.25" hidden="false" customHeight="true" outlineLevel="0" collapsed="false">
      <c r="B15" s="7" t="s">
        <v>11</v>
      </c>
      <c r="C15" s="7" t="s">
        <v>634</v>
      </c>
    </row>
    <row r="16" customFormat="false" ht="14.25" hidden="false" customHeight="true" outlineLevel="0" collapsed="false">
      <c r="B16" s="6" t="s">
        <v>12</v>
      </c>
      <c r="C16" s="6" t="s">
        <v>635</v>
      </c>
    </row>
    <row r="17" customFormat="false" ht="14.25" hidden="false" customHeight="true" outlineLevel="0" collapsed="false">
      <c r="B17" s="6" t="s">
        <v>13</v>
      </c>
      <c r="C17" s="6" t="s">
        <v>636</v>
      </c>
    </row>
    <row r="18" customFormat="false" ht="14.25" hidden="false" customHeight="true" outlineLevel="0" collapsed="false">
      <c r="B18" s="6" t="s">
        <v>14</v>
      </c>
      <c r="C18" s="6" t="s">
        <v>637</v>
      </c>
    </row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5:F5 A1"/>
    </sheetView>
  </sheetViews>
  <sheetFormatPr defaultRowHeight="15" zeroHeight="false" outlineLevelRow="0" outlineLevelCol="0"/>
  <cols>
    <col collapsed="false" customWidth="true" hidden="false" outlineLevel="0" max="1" min="1" style="0" width="16.5"/>
    <col collapsed="false" customWidth="true" hidden="false" outlineLevel="0" max="2" min="2" style="0" width="10.75"/>
    <col collapsed="false" customWidth="true" hidden="false" outlineLevel="0" max="3" min="3" style="0" width="17.74"/>
    <col collapsed="false" customWidth="true" hidden="false" outlineLevel="0" max="4" min="4" style="0" width="15.13"/>
    <col collapsed="false" customWidth="true" hidden="false" outlineLevel="0" max="7" min="5" style="0" width="7.75"/>
    <col collapsed="false" customWidth="true" hidden="false" outlineLevel="0" max="8" min="8" style="0" width="12.88"/>
    <col collapsed="false" customWidth="true" hidden="false" outlineLevel="0" max="9" min="9" style="0" width="29.38"/>
    <col collapsed="false" customWidth="true" hidden="false" outlineLevel="0" max="10" min="10" style="0" width="23.88"/>
    <col collapsed="false" customWidth="true" hidden="false" outlineLevel="0" max="13" min="11" style="0" width="7.75"/>
    <col collapsed="false" customWidth="true" hidden="false" outlineLevel="0" max="14" min="14" style="0" width="9.63"/>
    <col collapsed="false" customWidth="true" hidden="false" outlineLevel="0" max="27" min="15" style="0" width="7.75"/>
    <col collapsed="false" customWidth="true" hidden="false" outlineLevel="0" max="1025" min="28" style="0" width="12.63"/>
  </cols>
  <sheetData>
    <row r="1" customFormat="false" ht="14.25" hidden="false" customHeight="true" outlineLevel="0" collapsed="false">
      <c r="A1" s="7" t="str">
        <f aca="false">IFERROR(__xludf.dummyfunction("unique(Sites!A:A)"),"Owner")</f>
        <v>Owner</v>
      </c>
      <c r="B1" s="7" t="str">
        <f aca="false">IFERROR(__xludf.dummyfunction("unique(Sites!B:B)"),"Node")</f>
        <v>Node</v>
      </c>
      <c r="C1" s="7" t="str">
        <f aca="false">IFERROR(__xludf.dummyfunction("unique(Sites!C:C)"),"Site")</f>
        <v>Site</v>
      </c>
      <c r="D1" s="7" t="str">
        <f aca="false">IFERROR(__xludf.dummyfunction("unique(Sites!D:D)"),"Station name")</f>
        <v>Station name</v>
      </c>
      <c r="E1" s="7" t="str">
        <f aca="false">IFERROR(__xludf.dummyfunction("unique(Sites!E:E)"),"Latitude")</f>
        <v>Latitude</v>
      </c>
      <c r="F1" s="7" t="str">
        <f aca="false">IFERROR(__xludf.dummyfunction("unique(Sites!F:F)"),"Longitude")</f>
        <v>Longitude</v>
      </c>
      <c r="G1" s="7" t="str">
        <f aca="false">IFERROR(__xludf.dummyfunction("unique(Sites!G:G)"),"Elevation")</f>
        <v>Elevation</v>
      </c>
      <c r="H1" s="7" t="str">
        <f aca="false">IFERROR(__xludf.dummyfunction("unique(Sites!H:H)"),"Class")</f>
        <v>Class</v>
      </c>
      <c r="I1" s="7" t="str">
        <f aca="false">IFERROR(__xludf.dummyfunction("unique(Sites!I:I)"),"Description")</f>
        <v>Description</v>
      </c>
      <c r="J1" s="7" t="str">
        <f aca="false">IFERROR(__xludf.dummyfunction("unique(Sites!J:J)"),"Description - edited")</f>
        <v>Description - edited</v>
      </c>
      <c r="K1" s="28" t="s">
        <v>638</v>
      </c>
      <c r="L1" s="7" t="str">
        <f aca="false">IFERROR(__xludf.dummyfunction("unique(Sites!K:K)"),"Variables")</f>
        <v>Variables</v>
      </c>
      <c r="M1" s="7" t="str">
        <f aca="false">IFERROR(__xludf.dummyfunction("unique(Sites!L:L)"),"Resolution")</f>
        <v>Resolution</v>
      </c>
      <c r="N1" s="7" t="str">
        <f aca="false">IFERROR(__xludf.dummyfunction("unique(Sites!M:M)"),"Active")</f>
        <v>Active</v>
      </c>
      <c r="O1" s="7" t="str">
        <f aca="false">IFERROR(__xludf.dummyfunction("unique(Sites!N:N)"),"DownloadType")</f>
        <v>DownloadType</v>
      </c>
      <c r="P1" s="7" t="str">
        <f aca="false">IFERROR(__xludf.dummyfunction("unique(Sites!O:O)"),"DownloadFrequency")</f>
        <v>DownloadFrequency</v>
      </c>
      <c r="Q1" s="7" t="str">
        <f aca="false">IFERROR(__xludf.dummyfunction("unique(Sites!P:P)"),"")</f>
        <v/>
      </c>
    </row>
    <row r="2" customFormat="false" ht="14.25" hidden="false" customHeight="true" outlineLevel="0" collapsed="false">
      <c r="A2" s="7" t="str">
        <f aca="false">IFERROR(__xludf.dummyfunction("""COMPUTED_VALUE"""),"SAEON")</f>
        <v>SAEON</v>
      </c>
      <c r="B2" s="7" t="str">
        <f aca="false">IFERROR(__xludf.dummyfunction("""COMPUTED_VALUE"""),"Fynbos")</f>
        <v>Fynbos</v>
      </c>
      <c r="C2" s="7" t="str">
        <f aca="false">IFERROR(__xludf.dummyfunction("""COMPUTED_VALUE"""),"Jonkershoek")</f>
        <v>Jonkershoek</v>
      </c>
      <c r="D2" s="7" t="str">
        <f aca="false">IFERROR(__xludf.dummyfunction("""COMPUTED_VALUE"""),"Bosboukloof")</f>
        <v>Bosboukloof</v>
      </c>
      <c r="E2" s="7" t="n">
        <f aca="false">IFERROR(__xludf.dummyfunction("""COMPUTED_VALUE"""),-33.961703)</f>
        <v>-33.961703</v>
      </c>
      <c r="F2" s="7" t="n">
        <f aca="false">IFERROR(__xludf.dummyfunction("""COMPUTED_VALUE"""),18.93197)</f>
        <v>18.93197</v>
      </c>
      <c r="G2" s="7" t="n">
        <f aca="false">IFERROR(__xludf.dummyfunction("""COMPUTED_VALUE"""),274)</f>
        <v>274</v>
      </c>
      <c r="H2" s="7" t="str">
        <f aca="false">IFERROR(__xludf.dummyfunction("""COMPUTED_VALUE"""),"Hydrological")</f>
        <v>Hydrological</v>
      </c>
      <c r="I2" s="7" t="str">
        <f aca="false">IFERROR(__xludf.dummyfunction("""COMPUTED_VALUE"""),"Weir")</f>
        <v>Weir</v>
      </c>
      <c r="J2" s="7" t="str">
        <f aca="false">IFERROR(__xludf.dummyfunction("""COMPUTED_VALUE"""),"Water level &amp; temperature - weir")</f>
        <v>Water level &amp; temperature - weir</v>
      </c>
      <c r="K2" s="29" t="n">
        <f aca="false">COUNTIF(Sites!J:J, J2)</f>
        <v>12</v>
      </c>
      <c r="L2" s="7" t="str">
        <f aca="false">IFERROR(__xludf.dummyfunction("""COMPUTED_VALUE"""),"Water level, water temp")</f>
        <v>Water level, water temp</v>
      </c>
      <c r="M2" s="7" t="str">
        <f aca="false">IFERROR(__xludf.dummyfunction("""COMPUTED_VALUE"""),"Hourly")</f>
        <v>Hourly</v>
      </c>
      <c r="N2" s="7" t="str">
        <f aca="false">IFERROR(__xludf.dummyfunction("""COMPUTED_VALUE"""),"Yes")</f>
        <v>Yes</v>
      </c>
      <c r="O2" s="7" t="str">
        <f aca="false">IFERROR(__xludf.dummyfunction("""COMPUTED_VALUE"""),"Telemetry")</f>
        <v>Telemetry</v>
      </c>
      <c r="P2" s="7" t="str">
        <f aca="false">IFERROR(__xludf.dummyfunction("""COMPUTED_VALUE"""),"Daily")</f>
        <v>Daily</v>
      </c>
    </row>
    <row r="3" customFormat="false" ht="14.25" hidden="false" customHeight="true" outlineLevel="0" collapsed="false">
      <c r="A3" s="7" t="str">
        <f aca="false">IFERROR(__xludf.dummyfunction("""COMPUTED_VALUE"""),"ARC")</f>
        <v>ARC</v>
      </c>
      <c r="B3" s="7" t="str">
        <f aca="false">IFERROR(__xludf.dummyfunction("""COMPUTED_VALUE"""),"GFW")</f>
        <v>GFW</v>
      </c>
      <c r="C3" s="7" t="str">
        <f aca="false">IFERROR(__xludf.dummyfunction("""COMPUTED_VALUE"""),"Cape Peninsula")</f>
        <v>Cape Peninsula</v>
      </c>
      <c r="D3" s="7" t="str">
        <f aca="false">IFERROR(__xludf.dummyfunction("""COMPUTED_VALUE"""),"Lambrechtsbos A")</f>
        <v>Lambrechtsbos A</v>
      </c>
      <c r="E3" s="7" t="n">
        <f aca="false">IFERROR(__xludf.dummyfunction("""COMPUTED_VALUE"""),-33.964874)</f>
        <v>-33.964874</v>
      </c>
      <c r="F3" s="7" t="n">
        <f aca="false">IFERROR(__xludf.dummyfunction("""COMPUTED_VALUE"""),18.942941)</f>
        <v>18.942941</v>
      </c>
      <c r="G3" s="7" t="n">
        <f aca="false">IFERROR(__xludf.dummyfunction("""COMPUTED_VALUE"""),362)</f>
        <v>362</v>
      </c>
      <c r="H3" s="7" t="str">
        <f aca="false">IFERROR(__xludf.dummyfunction("""COMPUTED_VALUE"""),"Meteorological")</f>
        <v>Meteorological</v>
      </c>
      <c r="I3" s="7" t="str">
        <f aca="false">IFERROR(__xludf.dummyfunction("""COMPUTED_VALUE"""),"Tipping bucket rain gauge")</f>
        <v>Tipping bucket rain gauge</v>
      </c>
      <c r="J3" s="7" t="str">
        <f aca="false">IFERROR(__xludf.dummyfunction("""COMPUTED_VALUE"""),"Tipping bucket rain gauge")</f>
        <v>Tipping bucket rain gauge</v>
      </c>
      <c r="K3" s="29" t="n">
        <f aca="false">COUNTIF(Sites!J:J, J3)</f>
        <v>66</v>
      </c>
      <c r="L3" s="7" t="str">
        <f aca="false">IFERROR(__xludf.dummyfunction("""COMPUTED_VALUE"""),"Rainfall, air temp")</f>
        <v>Rainfall, air temp</v>
      </c>
      <c r="M3" s="7" t="str">
        <f aca="false">IFERROR(__xludf.dummyfunction("""COMPUTED_VALUE"""),"Event, hourly")</f>
        <v>Event, hourly</v>
      </c>
      <c r="N3" s="7" t="str">
        <f aca="false">IFERROR(__xludf.dummyfunction("""COMPUTED_VALUE"""),"No")</f>
        <v>No</v>
      </c>
      <c r="O3" s="7" t="str">
        <f aca="false">IFERROR(__xludf.dummyfunction("""COMPUTED_VALUE"""),"Manual")</f>
        <v>Manual</v>
      </c>
      <c r="P3" s="7" t="str">
        <f aca="false">IFERROR(__xludf.dummyfunction("""COMPUTED_VALUE"""),"Monthly")</f>
        <v>Monthly</v>
      </c>
    </row>
    <row r="4" customFormat="false" ht="14.25" hidden="false" customHeight="true" outlineLevel="0" collapsed="false">
      <c r="A4" s="7" t="str">
        <f aca="false">IFERROR(__xludf.dummyfunction("""COMPUTED_VALUE"""),"SAWS")</f>
        <v>SAWS</v>
      </c>
      <c r="B4" s="7" t="str">
        <f aca="false">IFERROR(__xludf.dummyfunction("""COMPUTED_VALUE"""),"Ndlovu")</f>
        <v>Ndlovu</v>
      </c>
      <c r="C4" s="7" t="str">
        <f aca="false">IFERROR(__xludf.dummyfunction("""COMPUTED_VALUE"""),"Cederberg")</f>
        <v>Cederberg</v>
      </c>
      <c r="D4" s="7" t="str">
        <f aca="false">IFERROR(__xludf.dummyfunction("""COMPUTED_VALUE"""),"Lambrechtsbos B")</f>
        <v>Lambrechtsbos B</v>
      </c>
      <c r="E4" s="7" t="n">
        <f aca="false">IFERROR(__xludf.dummyfunction("""COMPUTED_VALUE"""),-33.968151)</f>
        <v>-33.968151</v>
      </c>
      <c r="F4" s="7" t="n">
        <f aca="false">IFERROR(__xludf.dummyfunction("""COMPUTED_VALUE"""),18.940566)</f>
        <v>18.940566</v>
      </c>
      <c r="G4" s="7" t="n">
        <f aca="false">IFERROR(__xludf.dummyfunction("""COMPUTED_VALUE"""),300)</f>
        <v>300</v>
      </c>
      <c r="H4" s="7" t="str">
        <f aca="false">IFERROR(__xludf.dummyfunction("""COMPUTED_VALUE"""),"Micro meteorological")</f>
        <v>Micro meteorological</v>
      </c>
      <c r="I4" s="7" t="str">
        <f aca="false">IFERROR(__xludf.dummyfunction("""COMPUTED_VALUE"""),"Automatic Weather Station")</f>
        <v>Automatic Weather Station</v>
      </c>
      <c r="J4" s="7" t="str">
        <f aca="false">IFERROR(__xludf.dummyfunction("""COMPUTED_VALUE"""),"Automatic Weather Station")</f>
        <v>Automatic Weather Station</v>
      </c>
      <c r="K4" s="29" t="n">
        <f aca="false">COUNTIF(Sites!J:J, J4)</f>
        <v>52</v>
      </c>
      <c r="L4" s="7" t="str">
        <f aca="false">IFERROR(__xludf.dummyfunction("""COMPUTED_VALUE"""),"Rainfall, fog, air temp, RH, net rad, wind s&amp;d, soil moisture, soil temp, barometer")</f>
        <v>Rainfall, fog, air temp, RH, net rad, wind s&amp;d, soil moisture, soil temp, barometer</v>
      </c>
      <c r="M4" s="7" t="str">
        <f aca="false">IFERROR(__xludf.dummyfunction("""COMPUTED_VALUE"""),"Hourly, daily")</f>
        <v>Hourly, daily</v>
      </c>
      <c r="N4" s="7" t="str">
        <f aca="false">IFERROR(__xludf.dummyfunction("""COMPUTED_VALUE"""),"Y")</f>
        <v>Y</v>
      </c>
      <c r="O4" s="7" t="str">
        <f aca="false">IFERROR(__xludf.dummyfunction("""COMPUTED_VALUE"""),"Telemetry and manual")</f>
        <v>Telemetry and manual</v>
      </c>
      <c r="P4" s="7" t="str">
        <f aca="false">IFERROR(__xludf.dummyfunction("""COMPUTED_VALUE"""),"Daily &amp; 3 weekly for manual")</f>
        <v>Daily &amp; 3 weekly for manual</v>
      </c>
    </row>
    <row r="5" customFormat="false" ht="14.25" hidden="false" customHeight="true" outlineLevel="0" collapsed="false">
      <c r="A5" s="7" t="str">
        <f aca="false">IFERROR(__xludf.dummyfunction("""COMPUTED_VALUE"""),"SAEON/UC Berkeley")</f>
        <v>SAEON/UC Berkeley</v>
      </c>
      <c r="B5" s="7" t="str">
        <f aca="false">IFERROR(__xludf.dummyfunction("""COMPUTED_VALUE"""),"ALN")</f>
        <v>ALN</v>
      </c>
      <c r="C5" s="7" t="str">
        <f aca="false">IFERROR(__xludf.dummyfunction("""COMPUTED_VALUE"""),"Cape Agulhas")</f>
        <v>Cape Agulhas</v>
      </c>
      <c r="D5" s="7" t="str">
        <f aca="false">IFERROR(__xludf.dummyfunction("""COMPUTED_VALUE"""),"Biesievlei")</f>
        <v>Biesievlei</v>
      </c>
      <c r="E5" s="7" t="n">
        <f aca="false">IFERROR(__xludf.dummyfunction("""COMPUTED_VALUE"""),-33.976583)</f>
        <v>-33.976583</v>
      </c>
      <c r="F5" s="7" t="n">
        <f aca="false">IFERROR(__xludf.dummyfunction("""COMPUTED_VALUE"""),18.943679)</f>
        <v>18.943679</v>
      </c>
      <c r="G5" s="7" t="n">
        <f aca="false">IFERROR(__xludf.dummyfunction("""COMPUTED_VALUE"""),293)</f>
        <v>293</v>
      </c>
      <c r="H5" s="7" t="str">
        <f aca="false">IFERROR(__xludf.dummyfunction("""COMPUTED_VALUE"""),"Barometric pressure")</f>
        <v>Barometric pressure</v>
      </c>
      <c r="I5" s="7" t="str">
        <f aca="false">IFERROR(__xludf.dummyfunction("""COMPUTED_VALUE"""),"Extended open path eddy covariance")</f>
        <v>Extended open path eddy covariance</v>
      </c>
      <c r="J5" s="7" t="str">
        <f aca="false">IFERROR(__xludf.dummyfunction("""COMPUTED_VALUE"""),"CO2 &amp; H2O exchange - eddy covariance ")</f>
        <v>CO2 &amp; H2O exchange - eddy covariance </v>
      </c>
      <c r="K5" s="29" t="n">
        <f aca="false">COUNTIF(Sites!J:J, J5)</f>
        <v>3</v>
      </c>
      <c r="L5" s="7" t="str">
        <f aca="false">IFERROR(__xludf.dummyfunction("""COMPUTED_VALUE"""),"Rainfall, fog, air temp, RH, wind s&amp;d")</f>
        <v>Rainfall, fog, air temp, RH, wind s&amp;d</v>
      </c>
      <c r="M5" s="7" t="str">
        <f aca="false">IFERROR(__xludf.dummyfunction("""COMPUTED_VALUE"""),"5 minutes, Hourly, Daily")</f>
        <v>5 minutes, Hourly, Daily</v>
      </c>
      <c r="N5" s="7" t="str">
        <f aca="false">IFERROR(__xludf.dummyfunction("""COMPUTED_VALUE"""),"yes")</f>
        <v>yes</v>
      </c>
      <c r="O5" s="7" t="str">
        <f aca="false">IFERROR(__xludf.dummyfunction("""COMPUTED_VALUE"""),"ARC downloads")</f>
        <v>ARC downloads</v>
      </c>
      <c r="P5" s="7" t="str">
        <f aca="false">IFERROR(__xludf.dummyfunction("""COMPUTED_VALUE"""),"Quarterly")</f>
        <v>Quarterly</v>
      </c>
    </row>
    <row r="6" customFormat="false" ht="14.25" hidden="false" customHeight="true" outlineLevel="0" collapsed="false">
      <c r="A6" s="7" t="str">
        <f aca="false">IFERROR(__xludf.dummyfunction("""COMPUTED_VALUE"""),"SAEON / Rhodes Univ")</f>
        <v>SAEON / Rhodes Univ</v>
      </c>
      <c r="B6" s="7" t="str">
        <f aca="false">IFERROR(__xludf.dummyfunction("""COMPUTED_VALUE"""),"Arid_Node")</f>
        <v>Arid_Node</v>
      </c>
      <c r="C6" s="7" t="str">
        <f aca="false">IFERROR(__xludf.dummyfunction("""COMPUTED_VALUE"""),"Baviaanskloof")</f>
        <v>Baviaanskloof</v>
      </c>
      <c r="D6" s="7" t="str">
        <f aca="false">IFERROR(__xludf.dummyfunction("""COMPUTED_VALUE"""),"Tierkloof")</f>
        <v>Tierkloof</v>
      </c>
      <c r="E6" s="7" t="n">
        <f aca="false">IFERROR(__xludf.dummyfunction("""COMPUTED_VALUE"""),-33.978983)</f>
        <v>-33.978983</v>
      </c>
      <c r="F6" s="7" t="n">
        <f aca="false">IFERROR(__xludf.dummyfunction("""COMPUTED_VALUE"""),18.951486)</f>
        <v>18.951486</v>
      </c>
      <c r="G6" s="7" t="n">
        <f aca="false">IFERROR(__xludf.dummyfunction("""COMPUTED_VALUE"""),295)</f>
        <v>295</v>
      </c>
      <c r="H6" s="7" t="str">
        <f aca="false">IFERROR(__xludf.dummyfunction("""COMPUTED_VALUE"""),"")</f>
        <v/>
      </c>
      <c r="I6" s="7" t="str">
        <f aca="false">IFERROR(__xludf.dummyfunction("""COMPUTED_VALUE"""),"Soil Moisture Probe")</f>
        <v>Soil Moisture Probe</v>
      </c>
      <c r="J6" s="7" t="str">
        <f aca="false">IFERROR(__xludf.dummyfunction("""COMPUTED_VALUE"""),"Soil Moisture - TDR probe")</f>
        <v>Soil Moisture - TDR probe</v>
      </c>
      <c r="K6" s="29" t="n">
        <f aca="false">COUNTIF(Sites!J:J, J6)</f>
        <v>7</v>
      </c>
      <c r="L6" s="7" t="str">
        <f aca="false">IFERROR(__xludf.dummyfunction("""COMPUTED_VALUE"""),"CO2 + H2O flux, net radiation, soil heat flux, rainfall, soil &amp; air temperature, humidity, soil moisture, wind s&amp;d")</f>
        <v>CO2 + H2O flux, net radiation, soil heat flux, rainfall, soil &amp; air temperature, humidity, soil moisture, wind s&amp;d</v>
      </c>
      <c r="M6" s="7" t="str">
        <f aca="false">IFERROR(__xludf.dummyfunction("""COMPUTED_VALUE"""),"20Hz samples, Half hourly corrected fluxes")</f>
        <v>20Hz samples, Half hourly corrected fluxes</v>
      </c>
      <c r="N6" s="7" t="str">
        <f aca="false">IFERROR(__xludf.dummyfunction("""COMPUTED_VALUE"""),"no")</f>
        <v>no</v>
      </c>
      <c r="O6" s="7" t="str">
        <f aca="false">IFERROR(__xludf.dummyfunction("""COMPUTED_VALUE"""),"SAWS downloads")</f>
        <v>SAWS downloads</v>
      </c>
      <c r="P6" s="7" t="str">
        <f aca="false">IFERROR(__xludf.dummyfunction("""COMPUTED_VALUE"""),"")</f>
        <v/>
      </c>
    </row>
    <row r="7" customFormat="false" ht="14.25" hidden="false" customHeight="true" outlineLevel="0" collapsed="false">
      <c r="A7" s="7" t="str">
        <f aca="false">IFERROR(__xludf.dummyfunction("""COMPUTED_VALUE"""),"SAEON &amp; GFW")</f>
        <v>SAEON &amp; GFW</v>
      </c>
      <c r="B7" s="7" t="str">
        <f aca="false">IFERROR(__xludf.dummyfunction("""COMPUTED_VALUE"""),"")</f>
        <v/>
      </c>
      <c r="C7" s="7" t="str">
        <f aca="false">IFERROR(__xludf.dummyfunction("""COMPUTED_VALUE"""),"Kromme")</f>
        <v>Kromme</v>
      </c>
      <c r="D7" s="7" t="str">
        <f aca="false">IFERROR(__xludf.dummyfunction("""COMPUTED_VALUE"""),"Langrivier")</f>
        <v>Langrivier</v>
      </c>
      <c r="E7" s="7" t="n">
        <f aca="false">IFERROR(__xludf.dummyfunction("""COMPUTED_VALUE"""),-33.987613)</f>
        <v>-33.987613</v>
      </c>
      <c r="F7" s="7" t="n">
        <f aca="false">IFERROR(__xludf.dummyfunction("""COMPUTED_VALUE"""),18.970396)</f>
        <v>18.970396</v>
      </c>
      <c r="G7" s="7" t="n">
        <f aca="false">IFERROR(__xludf.dummyfunction("""COMPUTED_VALUE"""),370)</f>
        <v>370</v>
      </c>
      <c r="I7" s="7" t="str">
        <f aca="false">IFERROR(__xludf.dummyfunction("""COMPUTED_VALUE"""),"Temperature and humidity logger")</f>
        <v>Temperature and humidity logger</v>
      </c>
      <c r="J7" s="7" t="str">
        <f aca="false">IFERROR(__xludf.dummyfunction("""COMPUTED_VALUE"""),"Air temperature &amp; humidity sensor")</f>
        <v>Air temperature &amp; humidity sensor</v>
      </c>
      <c r="K7" s="29" t="n">
        <f aca="false">COUNTIF(Sites!J:J, J7)</f>
        <v>53</v>
      </c>
      <c r="L7" s="7" t="str">
        <f aca="false">IFERROR(__xludf.dummyfunction("""COMPUTED_VALUE"""),"Rainfall, air temp, RH, wind s&amp;d, solar rad, barometer")</f>
        <v>Rainfall, air temp, RH, wind s&amp;d, solar rad, barometer</v>
      </c>
      <c r="M7" s="7" t="str">
        <f aca="false">IFERROR(__xludf.dummyfunction("""COMPUTED_VALUE"""),"Hourly, Daily")</f>
        <v>Hourly, Daily</v>
      </c>
      <c r="N7" s="7" t="str">
        <f aca="false">IFERROR(__xludf.dummyfunction("""COMPUTED_VALUE"""),"Uncertain")</f>
        <v>Uncertain</v>
      </c>
      <c r="O7" s="7" t="str">
        <f aca="false">IFERROR(__xludf.dummyfunction("""COMPUTED_VALUE"""),"(manual, not-automated)")</f>
        <v>(manual, not-automated)</v>
      </c>
      <c r="P7" s="7" t="str">
        <f aca="false">IFERROR(__xludf.dummyfunction("""COMPUTED_VALUE"""),"Five minutes (signal dependant)")</f>
        <v>Five minutes (signal dependant)</v>
      </c>
    </row>
    <row r="8" customFormat="false" ht="14.25" hidden="false" customHeight="true" outlineLevel="0" collapsed="false">
      <c r="A8" s="7" t="str">
        <f aca="false">IFERROR(__xludf.dummyfunction("""COMPUTED_VALUE"""),"EKZNW &amp; GFW")</f>
        <v>EKZNW &amp; GFW</v>
      </c>
      <c r="C8" s="7" t="str">
        <f aca="false">IFERROR(__xludf.dummyfunction("""COMPUTED_VALUE"""),"St. Lucia - EASTERN SHORE")</f>
        <v>St. Lucia - EASTERN SHORE</v>
      </c>
      <c r="D8" s="7" t="str">
        <f aca="false">IFERROR(__xludf.dummyfunction("""COMPUTED_VALUE"""),"5B")</f>
        <v>5B</v>
      </c>
      <c r="E8" s="7" t="n">
        <f aca="false">IFERROR(__xludf.dummyfunction("""COMPUTED_VALUE"""),-33.953928)</f>
        <v>-33.953928</v>
      </c>
      <c r="F8" s="7" t="n">
        <f aca="false">IFERROR(__xludf.dummyfunction("""COMPUTED_VALUE"""),18.946987)</f>
        <v>18.946987</v>
      </c>
      <c r="G8" s="7" t="n">
        <f aca="false">IFERROR(__xludf.dummyfunction("""COMPUTED_VALUE"""),653)</f>
        <v>653</v>
      </c>
      <c r="I8" s="7" t="str">
        <f aca="false">IFERROR(__xludf.dummyfunction("""COMPUTED_VALUE"""),"Solinst depth &amp; temp logger")</f>
        <v>Solinst depth &amp; temp logger</v>
      </c>
      <c r="J8" s="7" t="str">
        <f aca="false">IFERROR(__xludf.dummyfunction("""COMPUTED_VALUE"""),"Water level &amp; temperature - piezometer")</f>
        <v>Water level &amp; temperature - piezometer</v>
      </c>
      <c r="K8" s="29" t="n">
        <f aca="false">COUNTIF(Sites!J:J, J8)</f>
        <v>43</v>
      </c>
      <c r="L8" s="7" t="str">
        <f aca="false">IFERROR(__xludf.dummyfunction("""COMPUTED_VALUE"""),"Soil moisture, soil temp")</f>
        <v>Soil moisture, soil temp</v>
      </c>
      <c r="M8" s="7" t="str">
        <f aca="false">IFERROR(__xludf.dummyfunction("""COMPUTED_VALUE"""),"10 minutes")</f>
        <v>10 minutes</v>
      </c>
      <c r="N8" s="7" t="str">
        <f aca="false">IFERROR(__xludf.dummyfunction("""COMPUTED_VALUE"""),"")</f>
        <v/>
      </c>
      <c r="O8" s="7" t="str">
        <f aca="false">IFERROR(__xludf.dummyfunction("""COMPUTED_VALUE"""),"")</f>
        <v/>
      </c>
      <c r="P8" s="7" t="str">
        <f aca="false">IFERROR(__xludf.dummyfunction("""COMPUTED_VALUE"""),"&lt; 3 months")</f>
        <v>&lt; 3 months</v>
      </c>
    </row>
    <row r="9" customFormat="false" ht="14.25" hidden="false" customHeight="true" outlineLevel="0" collapsed="false">
      <c r="A9" s="7" t="str">
        <f aca="false">IFERROR(__xludf.dummyfunction("""COMPUTED_VALUE"""),"DWAF &amp; GFW")</f>
        <v>DWAF &amp; GFW</v>
      </c>
      <c r="C9" s="7" t="str">
        <f aca="false">IFERROR(__xludf.dummyfunction("""COMPUTED_VALUE"""),"MBAZWANA")</f>
        <v>MBAZWANA</v>
      </c>
      <c r="D9" s="7" t="str">
        <f aca="false">IFERROR(__xludf.dummyfunction("""COMPUTED_VALUE"""),"7B")</f>
        <v>7B</v>
      </c>
      <c r="E9" s="7" t="n">
        <f aca="false">IFERROR(__xludf.dummyfunction("""COMPUTED_VALUE"""),-33.971872)</f>
        <v>-33.971872</v>
      </c>
      <c r="F9" s="7" t="n">
        <f aca="false">IFERROR(__xludf.dummyfunction("""COMPUTED_VALUE"""),18.939977)</f>
        <v>18.939977</v>
      </c>
      <c r="G9" s="7" t="n">
        <f aca="false">IFERROR(__xludf.dummyfunction("""COMPUTED_VALUE"""),278)</f>
        <v>278</v>
      </c>
      <c r="I9" s="7" t="str">
        <f aca="false">IFERROR(__xludf.dummyfunction("""COMPUTED_VALUE"""),"Solinst depth, temp &amp; conductivity logger")</f>
        <v>Solinst depth, temp &amp; conductivity logger</v>
      </c>
      <c r="J9" s="7" t="str">
        <f aca="false">IFERROR(__xludf.dummyfunction("""COMPUTED_VALUE"""),"Barometric pressure - pressure transducer corrections")</f>
        <v>Barometric pressure - pressure transducer corrections</v>
      </c>
      <c r="K9" s="29" t="n">
        <f aca="false">COUNTIF(Sites!J:J, J9)</f>
        <v>6</v>
      </c>
      <c r="L9" s="7" t="str">
        <f aca="false">IFERROR(__xludf.dummyfunction("""COMPUTED_VALUE"""),"Rainfall, fog, air temp, RH, wind s&amp;d, soil moisture, soil temp")</f>
        <v>Rainfall, fog, air temp, RH, wind s&amp;d, soil moisture, soil temp</v>
      </c>
      <c r="M9" s="7" t="str">
        <f aca="false">IFERROR(__xludf.dummyfunction("""COMPUTED_VALUE"""),"30 min")</f>
        <v>30 min</v>
      </c>
      <c r="P9" s="7" t="str">
        <f aca="false">IFERROR(__xludf.dummyfunction("""COMPUTED_VALUE"""),"Annually")</f>
        <v>Annually</v>
      </c>
    </row>
    <row r="10" customFormat="false" ht="14.25" hidden="false" customHeight="true" outlineLevel="0" collapsed="false">
      <c r="A10" s="7" t="str">
        <f aca="false">IFERROR(__xludf.dummyfunction("""COMPUTED_VALUE"""),"PLG &amp; GFW")</f>
        <v>PLG &amp; GFW</v>
      </c>
      <c r="C10" s="7" t="str">
        <f aca="false">IFERROR(__xludf.dummyfunction("""COMPUTED_VALUE"""),"MSELENI")</f>
        <v>MSELENI</v>
      </c>
      <c r="D10" s="7" t="str">
        <f aca="false">IFERROR(__xludf.dummyfunction("""COMPUTED_VALUE"""),"8B")</f>
        <v>8B</v>
      </c>
      <c r="E10" s="7" t="n">
        <f aca="false">IFERROR(__xludf.dummyfunction("""COMPUTED_VALUE"""),-33.98761)</f>
        <v>-33.98761</v>
      </c>
      <c r="F10" s="7" t="n">
        <f aca="false">IFERROR(__xludf.dummyfunction("""COMPUTED_VALUE"""),18.969968)</f>
        <v>18.969968</v>
      </c>
      <c r="G10" s="7" t="n">
        <f aca="false">IFERROR(__xludf.dummyfunction("""COMPUTED_VALUE"""),366)</f>
        <v>366</v>
      </c>
      <c r="I10" s="7" t="str">
        <f aca="false">IFERROR(__xludf.dummyfunction("""COMPUTED_VALUE"""),"Barometric logger")</f>
        <v>Barometric logger</v>
      </c>
      <c r="J10" s="7" t="str">
        <f aca="false">IFERROR(__xludf.dummyfunction("""COMPUTED_VALUE"""),"Water level &amp; temperature - in-stream")</f>
        <v>Water level &amp; temperature - in-stream</v>
      </c>
      <c r="K10" s="29" t="n">
        <f aca="false">COUNTIF(Sites!J:J, J10)</f>
        <v>13</v>
      </c>
      <c r="L10" s="7" t="str">
        <f aca="false">IFERROR(__xludf.dummyfunction("""COMPUTED_VALUE"""),"Rainfall, air temp, RH, wind s&amp;d, solar radiation")</f>
        <v>Rainfall, air temp, RH, wind s&amp;d, solar radiation</v>
      </c>
      <c r="M10" s="7" t="str">
        <f aca="false">IFERROR(__xludf.dummyfunction("""COMPUTED_VALUE"""),"30 minutes")</f>
        <v>30 minutes</v>
      </c>
    </row>
    <row r="11" customFormat="false" ht="14.25" hidden="false" customHeight="true" outlineLevel="0" collapsed="false">
      <c r="A11" s="7" t="str">
        <f aca="false">IFERROR(__xludf.dummyfunction("""COMPUTED_VALUE"""),"GFW")</f>
        <v>GFW</v>
      </c>
      <c r="C11" s="7" t="str">
        <f aca="false">IFERROR(__xludf.dummyfunction("""COMPUTED_VALUE"""),"SIBHAYI")</f>
        <v>SIBHAYI</v>
      </c>
      <c r="D11" s="7" t="str">
        <f aca="false">IFERROR(__xludf.dummyfunction("""COMPUTED_VALUE"""),"9B")</f>
        <v>9B</v>
      </c>
      <c r="E11" s="7" t="n">
        <f aca="false">IFERROR(__xludf.dummyfunction("""COMPUTED_VALUE"""),-33.979186)</f>
        <v>-33.979186</v>
      </c>
      <c r="F11" s="7" t="n">
        <f aca="false">IFERROR(__xludf.dummyfunction("""COMPUTED_VALUE"""),18.951363)</f>
        <v>18.951363</v>
      </c>
      <c r="G11" s="7" t="n">
        <f aca="false">IFERROR(__xludf.dummyfunction("""COMPUTED_VALUE"""),292)</f>
        <v>292</v>
      </c>
      <c r="I11" s="7" t="str">
        <f aca="false">IFERROR(__xludf.dummyfunction("""COMPUTED_VALUE"""),"Pressure transducer - river")</f>
        <v>Pressure transducer - river</v>
      </c>
      <c r="J11" s="7" t="str">
        <f aca="false">IFERROR(__xludf.dummyfunction("""COMPUTED_VALUE"""),"Water level &amp; temperature - borehole")</f>
        <v>Water level &amp; temperature - borehole</v>
      </c>
      <c r="K11" s="29" t="n">
        <f aca="false">COUNTIF(Sites!J:J, J11)</f>
        <v>39</v>
      </c>
      <c r="L11" s="7" t="str">
        <f aca="false">IFERROR(__xludf.dummyfunction("""COMPUTED_VALUE"""),"Rainfall, air temp, RH, wind s&amp;d, solar rad")</f>
        <v>Rainfall, air temp, RH, wind s&amp;d, solar rad</v>
      </c>
      <c r="M11" s="7" t="str">
        <f aca="false">IFERROR(__xludf.dummyfunction("""COMPUTED_VALUE"""),"60 minutes")</f>
        <v>60 minutes</v>
      </c>
    </row>
    <row r="12" customFormat="false" ht="14.25" hidden="false" customHeight="true" outlineLevel="0" collapsed="false">
      <c r="A12" s="7" t="str">
        <f aca="false">IFERROR(__xludf.dummyfunction("""COMPUTED_VALUE"""),"GWF &amp; EFTEON")</f>
        <v>GWF &amp; EFTEON</v>
      </c>
      <c r="C12" s="7" t="str">
        <f aca="false">IFERROR(__xludf.dummyfunction("""COMPUTED_VALUE"""),"SILEZA")</f>
        <v>SILEZA</v>
      </c>
      <c r="D12" s="7" t="str">
        <f aca="false">IFERROR(__xludf.dummyfunction("""COMPUTED_VALUE"""),"11B")</f>
        <v>11B</v>
      </c>
      <c r="E12" s="7" t="n">
        <f aca="false">IFERROR(__xludf.dummyfunction("""COMPUTED_VALUE"""),-33.958802)</f>
        <v>-33.958802</v>
      </c>
      <c r="F12" s="7" t="n">
        <f aca="false">IFERROR(__xludf.dummyfunction("""COMPUTED_VALUE"""),18.939447)</f>
        <v>18.939447</v>
      </c>
      <c r="G12" s="7" t="n">
        <f aca="false">IFERROR(__xludf.dummyfunction("""COMPUTED_VALUE"""),400)</f>
        <v>400</v>
      </c>
      <c r="I12" s="7" t="str">
        <f aca="false">IFERROR(__xludf.dummyfunction("""COMPUTED_VALUE"""),"Pressure transducer - borehole")</f>
        <v>Pressure transducer - borehole</v>
      </c>
      <c r="J12" s="7" t="str">
        <f aca="false">IFERROR(__xludf.dummyfunction("""COMPUTED_VALUE"""),"Water level - shallow groundwater (staff reading)")</f>
        <v>Water level - shallow groundwater (staff reading)</v>
      </c>
      <c r="K12" s="29" t="n">
        <f aca="false">COUNTIF(Sites!J:J, J12)</f>
        <v>7</v>
      </c>
      <c r="L12" s="7" t="str">
        <f aca="false">IFERROR(__xludf.dummyfunction("""COMPUTED_VALUE"""),"Rainfall, air temp, RH, wind s&amp;d")</f>
        <v>Rainfall, air temp, RH, wind s&amp;d</v>
      </c>
      <c r="M12" s="7" t="str">
        <f aca="false">IFERROR(__xludf.dummyfunction("""COMPUTED_VALUE"""),"(quarterly, not-automated)")</f>
        <v>(quarterly, not-automated)</v>
      </c>
    </row>
    <row r="13" customFormat="false" ht="14.25" hidden="false" customHeight="true" outlineLevel="0" collapsed="false">
      <c r="A13" s="7" t="str">
        <f aca="false">IFERROR(__xludf.dummyfunction("""COMPUTED_VALUE"""),"MONDI &amp; GFW")</f>
        <v>MONDI &amp; GFW</v>
      </c>
      <c r="C13" s="7" t="str">
        <f aca="false">IFERROR(__xludf.dummyfunction("""COMPUTED_VALUE"""),"SODWANA")</f>
        <v>SODWANA</v>
      </c>
      <c r="D13" s="7" t="str">
        <f aca="false">IFERROR(__xludf.dummyfunction("""COMPUTED_VALUE"""),"12B")</f>
        <v>12B</v>
      </c>
      <c r="E13" s="7" t="n">
        <f aca="false">IFERROR(__xludf.dummyfunction("""COMPUTED_VALUE"""),-33.972991)</f>
        <v>-33.972991</v>
      </c>
      <c r="F13" s="7" t="n">
        <f aca="false">IFERROR(__xludf.dummyfunction("""COMPUTED_VALUE"""),18.949299)</f>
        <v>18.949299</v>
      </c>
      <c r="G13" s="7" t="n">
        <f aca="false">IFERROR(__xludf.dummyfunction("""COMPUTED_VALUE"""),337)</f>
        <v>337</v>
      </c>
      <c r="I13" s="7" t="str">
        <f aca="false">IFERROR(__xludf.dummyfunction("""COMPUTED_VALUE"""),"Pressure transducer - piezometer")</f>
        <v>Pressure transducer - piezometer</v>
      </c>
      <c r="J13" s="7" t="str">
        <f aca="false">IFERROR(__xludf.dummyfunction("""COMPUTED_VALUE"""),"Water level - piezometer")</f>
        <v>Water level - piezometer</v>
      </c>
      <c r="K13" s="29" t="n">
        <f aca="false">COUNTIF(Sites!J:J, J13)</f>
        <v>28</v>
      </c>
      <c r="L13" s="7" t="str">
        <f aca="false">IFERROR(__xludf.dummyfunction("""COMPUTED_VALUE"""),"Air temp, RH")</f>
        <v>Air temp, RH</v>
      </c>
      <c r="M13" s="7" t="str">
        <f aca="false">IFERROR(__xludf.dummyfunction("""COMPUTED_VALUE"""),"Event")</f>
        <v>Event</v>
      </c>
    </row>
    <row r="14" customFormat="false" ht="14.25" hidden="false" customHeight="true" outlineLevel="0" collapsed="false">
      <c r="A14" s="7" t="str">
        <f aca="false">IFERROR(__xludf.dummyfunction("""COMPUTED_VALUE"""),"GFW - Byron PhD")</f>
        <v>GFW - Byron PhD</v>
      </c>
      <c r="C14" s="7" t="str">
        <f aca="false">IFERROR(__xludf.dummyfunction("""COMPUTED_VALUE"""),"VASI")</f>
        <v>VASI</v>
      </c>
      <c r="D14" s="7" t="str">
        <f aca="false">IFERROR(__xludf.dummyfunction("""COMPUTED_VALUE"""),"13B")</f>
        <v>13B</v>
      </c>
      <c r="E14" s="7" t="n">
        <f aca="false">IFERROR(__xludf.dummyfunction("""COMPUTED_VALUE"""),-33.975755)</f>
        <v>-33.975755</v>
      </c>
      <c r="F14" s="7" t="n">
        <f aca="false">IFERROR(__xludf.dummyfunction("""COMPUTED_VALUE"""),18.957398)</f>
        <v>18.957398</v>
      </c>
      <c r="G14" s="7" t="n">
        <f aca="false">IFERROR(__xludf.dummyfunction("""COMPUTED_VALUE"""),439)</f>
        <v>439</v>
      </c>
      <c r="I14" s="7" t="str">
        <f aca="false">IFERROR(__xludf.dummyfunction("""COMPUTED_VALUE"""),"Putze staff gage (groundwater pit)")</f>
        <v>Putze staff gage (groundwater pit)</v>
      </c>
      <c r="J14" s="7" t="str">
        <f aca="false">IFERROR(__xludf.dummyfunction("""COMPUTED_VALUE"""),"Water level &amp; temperature - borehol")</f>
        <v>Water level &amp; temperature - borehol</v>
      </c>
      <c r="K14" s="29" t="n">
        <f aca="false">COUNTIF(Sites!J:J, J14)</f>
        <v>1</v>
      </c>
      <c r="L14" s="7" t="str">
        <f aca="false">IFERROR(__xludf.dummyfunction("""COMPUTED_VALUE"""),"water level and temperature")</f>
        <v>water level and temperature</v>
      </c>
      <c r="M14" s="7" t="str">
        <f aca="false">IFERROR(__xludf.dummyfunction("""COMPUTED_VALUE"""),"Five minutes, Hourly, Daily")</f>
        <v>Five minutes, Hourly, Daily</v>
      </c>
    </row>
    <row r="15" customFormat="false" ht="14.25" hidden="false" customHeight="true" outlineLevel="0" collapsed="false">
      <c r="A15" s="7" t="str">
        <f aca="false">IFERROR(__xludf.dummyfunction("""COMPUTED_VALUE"""),"GFW ")</f>
        <v>GFW </v>
      </c>
      <c r="C15" s="7" t="str">
        <f aca="false">IFERROR(__xludf.dummyfunction("""COMPUTED_VALUE"""),"St. Lucia - WESTERN SHORE")</f>
        <v>St. Lucia - WESTERN SHORE</v>
      </c>
      <c r="D15" s="7" t="str">
        <f aca="false">IFERROR(__xludf.dummyfunction("""COMPUTED_VALUE"""),"14B")</f>
        <v>14B</v>
      </c>
      <c r="E15" s="7" t="n">
        <f aca="false">IFERROR(__xludf.dummyfunction("""COMPUTED_VALUE"""),-33.982677)</f>
        <v>-33.982677</v>
      </c>
      <c r="F15" s="7" t="n">
        <f aca="false">IFERROR(__xludf.dummyfunction("""COMPUTED_VALUE"""),18.976184)</f>
        <v>18.976184</v>
      </c>
      <c r="G15" s="7" t="n">
        <f aca="false">IFERROR(__xludf.dummyfunction("""COMPUTED_VALUE"""),472)</f>
        <v>472</v>
      </c>
      <c r="I15" s="7" t="str">
        <f aca="false">IFERROR(__xludf.dummyfunction("""COMPUTED_VALUE"""),"Piezometer")</f>
        <v>Piezometer</v>
      </c>
      <c r="J15" s="7" t="str">
        <f aca="false">IFERROR(__xludf.dummyfunction("""COMPUTED_VALUE"""),"Water level &amp; temperature - borehole??")</f>
        <v>Water level &amp; temperature - borehole??</v>
      </c>
      <c r="K15" s="29" t="n">
        <f aca="false">COUNTIF(Sites!J:J, J15)</f>
        <v>1</v>
      </c>
      <c r="L15" s="7" t="str">
        <f aca="false">IFERROR(__xludf.dummyfunction("""COMPUTED_VALUE"""),"water level, conductivity and temperature")</f>
        <v>water level, conductivity and temperature</v>
      </c>
      <c r="M15" s="7" t="str">
        <f aca="false">IFERROR(__xludf.dummyfunction("""COMPUTED_VALUE"""),"High frequency (20Hz) and 30 minute corrected fluxes")</f>
        <v>High frequency (20Hz) and 30 minute corrected fluxes</v>
      </c>
    </row>
    <row r="16" customFormat="false" ht="14.25" hidden="false" customHeight="true" outlineLevel="0" collapsed="false">
      <c r="A16" s="7" t="str">
        <f aca="false">IFERROR(__xludf.dummyfunction("""COMPUTED_VALUE"""),"Colin Everson")</f>
        <v>Colin Everson</v>
      </c>
      <c r="C16" s="7" t="str">
        <f aca="false">IFERROR(__xludf.dummyfunction("""COMPUTED_VALUE"""),"Cathedral Peak")</f>
        <v>Cathedral Peak</v>
      </c>
      <c r="D16" s="7" t="str">
        <f aca="false">IFERROR(__xludf.dummyfunction("""COMPUTED_VALUE"""),"15B")</f>
        <v>15B</v>
      </c>
      <c r="E16" s="7" t="n">
        <f aca="false">IFERROR(__xludf.dummyfunction("""COMPUTED_VALUE"""),-33.966319)</f>
        <v>-33.966319</v>
      </c>
      <c r="F16" s="7" t="n">
        <f aca="false">IFERROR(__xludf.dummyfunction("""COMPUTED_VALUE"""),18.940393)</f>
        <v>18.940393</v>
      </c>
      <c r="G16" s="7" t="n">
        <f aca="false">IFERROR(__xludf.dummyfunction("""COMPUTED_VALUE"""),310)</f>
        <v>310</v>
      </c>
      <c r="I16" s="7" t="str">
        <f aca="false">IFERROR(__xludf.dummyfunction("""COMPUTED_VALUE"""),"Pressure transducer")</f>
        <v>Pressure transducer</v>
      </c>
      <c r="J16" s="7" t="str">
        <f aca="false">IFERROR(__xludf.dummyfunction("""COMPUTED_VALUE"""),"CO2 &amp; H2O exchange - eddy covariance")</f>
        <v>CO2 &amp; H2O exchange - eddy covariance</v>
      </c>
      <c r="K16" s="29" t="n">
        <f aca="false">COUNTIF(Sites!J:J, J16)</f>
        <v>2</v>
      </c>
      <c r="L16" s="7" t="str">
        <f aca="false">IFERROR(__xludf.dummyfunction("""COMPUTED_VALUE"""),"Adjust pressure transducers")</f>
        <v>Adjust pressure transducers</v>
      </c>
      <c r="M16" s="7" t="str">
        <f aca="false">IFERROR(__xludf.dummyfunction("""COMPUTED_VALUE"""),"Monthly")</f>
        <v>Monthly</v>
      </c>
    </row>
    <row r="17" customFormat="false" ht="14.25" hidden="false" customHeight="true" outlineLevel="0" collapsed="false">
      <c r="A17" s="7" t="str">
        <f aca="false">IFERROR(__xludf.dummyfunction("""COMPUTED_VALUE"""),"GFW - Université de Bourgogne")</f>
        <v>GFW - Université de Bourgogne</v>
      </c>
      <c r="C17" s="7" t="str">
        <f aca="false">IFERROR(__xludf.dummyfunction("""COMPUTED_VALUE"""),"Greater Kruger - Mthimkhulu")</f>
        <v>Greater Kruger - Mthimkhulu</v>
      </c>
      <c r="D17" s="7" t="str">
        <f aca="false">IFERROR(__xludf.dummyfunction("""COMPUTED_VALUE"""),"19B")</f>
        <v>19B</v>
      </c>
      <c r="E17" s="7" t="n">
        <f aca="false">IFERROR(__xludf.dummyfunction("""COMPUTED_VALUE"""),-33.976028)</f>
        <v>-33.976028</v>
      </c>
      <c r="F17" s="7" t="n">
        <f aca="false">IFERROR(__xludf.dummyfunction("""COMPUTED_VALUE"""),18.948315)</f>
        <v>18.948315</v>
      </c>
      <c r="G17" s="7" t="n">
        <f aca="false">IFERROR(__xludf.dummyfunction("""COMPUTED_VALUE"""),298)</f>
        <v>298</v>
      </c>
      <c r="I17" s="7" t="str">
        <f aca="false">IFERROR(__xludf.dummyfunction("""COMPUTED_VALUE"""),"Barometer")</f>
        <v>Barometer</v>
      </c>
      <c r="J17" s="7" t="str">
        <f aca="false">IFERROR(__xludf.dummyfunction("""COMPUTED_VALUE"""),"Water level &amp; flow- In stream")</f>
        <v>Water level &amp; flow- In stream</v>
      </c>
      <c r="K17" s="29" t="n">
        <f aca="false">COUNTIF(Sites!J:J, J17)</f>
        <v>1</v>
      </c>
      <c r="L17" s="7" t="str">
        <f aca="false">IFERROR(__xludf.dummyfunction("""COMPUTED_VALUE"""),"River water depth")</f>
        <v>River water depth</v>
      </c>
      <c r="M17" s="7" t="str">
        <f aca="false">IFERROR(__xludf.dummyfunction("""COMPUTED_VALUE"""),"Hourly and Daily corrected data")</f>
        <v>Hourly and Daily corrected data</v>
      </c>
    </row>
    <row r="18" customFormat="false" ht="14.25" hidden="false" customHeight="true" outlineLevel="0" collapsed="false">
      <c r="A18" s="7" t="str">
        <f aca="false">IFERROR(__xludf.dummyfunction("""COMPUTED_VALUE"""),"GFW - WITS ")</f>
        <v>GFW - WITS </v>
      </c>
      <c r="C18" s="7" t="str">
        <f aca="false">IFERROR(__xludf.dummyfunction("""COMPUTED_VALUE"""),"South African Wildlife College")</f>
        <v>South African Wildlife College</v>
      </c>
      <c r="D18" s="7" t="str">
        <f aca="false">IFERROR(__xludf.dummyfunction("""COMPUTED_VALUE"""),"20B")</f>
        <v>20B</v>
      </c>
      <c r="E18" s="7" t="n">
        <f aca="false">IFERROR(__xludf.dummyfunction("""COMPUTED_VALUE"""),-33.988138)</f>
        <v>-33.988138</v>
      </c>
      <c r="F18" s="7" t="n">
        <f aca="false">IFERROR(__xludf.dummyfunction("""COMPUTED_VALUE"""),18.951429)</f>
        <v>18.951429</v>
      </c>
      <c r="G18" s="7" t="n">
        <f aca="false">IFERROR(__xludf.dummyfunction("""COMPUTED_VALUE"""),409)</f>
        <v>409</v>
      </c>
      <c r="I18" s="7" t="str">
        <f aca="false">IFERROR(__xludf.dummyfunction("""COMPUTED_VALUE"""),"Automatic Weather Station CS ")</f>
        <v>Automatic Weather Station CS </v>
      </c>
      <c r="J18" s="7" t="str">
        <f aca="false">IFERROR(__xludf.dummyfunction("""COMPUTED_VALUE"""),"Automatic weather station")</f>
        <v>Automatic weather station</v>
      </c>
      <c r="K18" s="29" t="n">
        <f aca="false">COUNTIF(Sites!J:J, J18)</f>
        <v>52</v>
      </c>
      <c r="L18" s="7" t="str">
        <f aca="false">IFERROR(__xludf.dummyfunction("""COMPUTED_VALUE"""),"Groundwater elevation, groundwater temperature")</f>
        <v>Groundwater elevation, groundwater temperature</v>
      </c>
      <c r="M18" s="7" t="str">
        <f aca="false">IFERROR(__xludf.dummyfunction("""COMPUTED_VALUE"""),"Hourly (if RH &lt;85%)")</f>
        <v>Hourly (if RH &lt;85%)</v>
      </c>
    </row>
    <row r="19" customFormat="false" ht="14.25" hidden="false" customHeight="true" outlineLevel="0" collapsed="false">
      <c r="A19" s="7" t="str">
        <f aca="false">IFERROR(__xludf.dummyfunction("""COMPUTED_VALUE"""),"GFW - Tiffany PhD")</f>
        <v>GFW - Tiffany PhD</v>
      </c>
      <c r="C19" s="7" t="str">
        <f aca="false">IFERROR(__xludf.dummyfunction("""COMPUTED_VALUE"""),"Welverdiend")</f>
        <v>Welverdiend</v>
      </c>
      <c r="D19" s="7" t="str">
        <f aca="false">IFERROR(__xludf.dummyfunction("""COMPUTED_VALUE"""),"21B")</f>
        <v>21B</v>
      </c>
      <c r="E19" s="7" t="n">
        <f aca="false">IFERROR(__xludf.dummyfunction("""COMPUTED_VALUE"""),-33.980476)</f>
        <v>-33.980476</v>
      </c>
      <c r="F19" s="7" t="n">
        <f aca="false">IFERROR(__xludf.dummyfunction("""COMPUTED_VALUE"""),18.932897)</f>
        <v>18.932897</v>
      </c>
      <c r="G19" s="7" t="n">
        <f aca="false">IFERROR(__xludf.dummyfunction("""COMPUTED_VALUE"""),490)</f>
        <v>490</v>
      </c>
      <c r="I19" s="7" t="str">
        <f aca="false">IFERROR(__xludf.dummyfunction("""COMPUTED_VALUE"""),"Automatic Weather Station CS")</f>
        <v>Automatic Weather Station CS</v>
      </c>
      <c r="J19" s="7" t="str">
        <f aca="false">IFERROR(__xludf.dummyfunction("""COMPUTED_VALUE"""),"Soil moisture - TDR probe")</f>
        <v>Soil moisture - TDR probe</v>
      </c>
      <c r="K19" s="29" t="n">
        <f aca="false">COUNTIF(Sites!J:J, J19)</f>
        <v>7</v>
      </c>
      <c r="L19" s="7" t="str">
        <f aca="false">IFERROR(__xludf.dummyfunction("""COMPUTED_VALUE"""),"Groundwater elevation")</f>
        <v>Groundwater elevation</v>
      </c>
      <c r="M19" s="7" t="str">
        <f aca="false">IFERROR(__xludf.dummyfunction("""COMPUTED_VALUE"""),"15 minutes")</f>
        <v>15 minutes</v>
      </c>
    </row>
    <row r="20" customFormat="false" ht="14.25" hidden="false" customHeight="true" outlineLevel="0" collapsed="false">
      <c r="A20" s="7" t="str">
        <f aca="false">IFERROR(__xludf.dummyfunction("""COMPUTED_VALUE"""),"SAEON - Lajuma")</f>
        <v>SAEON - Lajuma</v>
      </c>
      <c r="C20" s="7" t="str">
        <f aca="false">IFERROR(__xludf.dummyfunction("""COMPUTED_VALUE"""),"Majeje High School")</f>
        <v>Majeje High School</v>
      </c>
      <c r="D20" s="7" t="str">
        <f aca="false">IFERROR(__xludf.dummyfunction("""COMPUTED_VALUE"""),"25B")</f>
        <v>25B</v>
      </c>
      <c r="E20" s="7" t="n">
        <f aca="false">IFERROR(__xludf.dummyfunction("""COMPUTED_VALUE"""),-33.949928)</f>
        <v>-33.949928</v>
      </c>
      <c r="F20" s="7" t="n">
        <f aca="false">IFERROR(__xludf.dummyfunction("""COMPUTED_VALUE"""),18.947671)</f>
        <v>18.947671</v>
      </c>
      <c r="G20" s="7" t="n">
        <f aca="false">IFERROR(__xludf.dummyfunction("""COMPUTED_VALUE"""),873)</f>
        <v>873</v>
      </c>
      <c r="I20" s="7" t="str">
        <f aca="false">IFERROR(__xludf.dummyfunction("""COMPUTED_VALUE"""),"Pressure transducer OTT MF Pro ")</f>
        <v>Pressure transducer OTT MF Pro </v>
      </c>
      <c r="J20" s="7" t="str">
        <f aca="false">IFERROR(__xludf.dummyfunction("""COMPUTED_VALUE"""),"Soil moisture - cosmic ray ")</f>
        <v>Soil moisture - cosmic ray </v>
      </c>
      <c r="K20" s="29" t="n">
        <f aca="false">COUNTIF(Sites!J:J, J20)</f>
        <v>1</v>
      </c>
      <c r="L20" s="7" t="str">
        <f aca="false">IFERROR(__xludf.dummyfunction("""COMPUTED_VALUE"""),"Ground Water level")</f>
        <v>Ground Water level</v>
      </c>
      <c r="M20" s="7" t="str">
        <f aca="false">IFERROR(__xludf.dummyfunction("""COMPUTED_VALUE"""),"15minutes")</f>
        <v>15minutes</v>
      </c>
    </row>
    <row r="21" customFormat="false" ht="14.25" hidden="false" customHeight="true" outlineLevel="0" collapsed="false">
      <c r="A21" s="7" t="str">
        <f aca="false">IFERROR(__xludf.dummyfunction("""COMPUTED_VALUE"""),"EFTEON")</f>
        <v>EFTEON</v>
      </c>
      <c r="C21" s="7" t="str">
        <f aca="false">IFERROR(__xludf.dummyfunction("""COMPUTED_VALUE"""),"Lajuma (Soutpansberg)")</f>
        <v>Lajuma (Soutpansberg)</v>
      </c>
      <c r="D21" s="7" t="str">
        <f aca="false">IFERROR(__xludf.dummyfunction("""COMPUTED_VALUE"""),"26B")</f>
        <v>26B</v>
      </c>
      <c r="E21" s="7" t="n">
        <f aca="false">IFERROR(__xludf.dummyfunction("""COMPUTED_VALUE"""),-33.99468)</f>
        <v>-33.99468</v>
      </c>
      <c r="F21" s="7" t="n">
        <f aca="false">IFERROR(__xludf.dummyfunction("""COMPUTED_VALUE"""),18.955551)</f>
        <v>18.955551</v>
      </c>
      <c r="G21" s="7" t="n">
        <f aca="false">IFERROR(__xludf.dummyfunction("""COMPUTED_VALUE"""),416)</f>
        <v>416</v>
      </c>
      <c r="I21" s="7" t="str">
        <f aca="false">IFERROR(__xludf.dummyfunction("""COMPUTED_VALUE"""),"Tipping bucket")</f>
        <v>Tipping bucket</v>
      </c>
      <c r="J21" s="7" t="str">
        <f aca="false">IFERROR(__xludf.dummyfunction("""COMPUTED_VALUE"""),"Soil respiration chambers")</f>
        <v>Soil respiration chambers</v>
      </c>
      <c r="K21" s="29" t="n">
        <f aca="false">COUNTIF(Sites!J:J, J21)</f>
        <v>1</v>
      </c>
      <c r="L21" s="7" t="str">
        <f aca="false">IFERROR(__xludf.dummyfunction("""COMPUTED_VALUE"""),"Precipitation")</f>
        <v>Precipitation</v>
      </c>
      <c r="M21" s="7" t="str">
        <f aca="false">IFERROR(__xludf.dummyfunction("""COMPUTED_VALUE"""),"2 minutes, 30 minutes")</f>
        <v>2 minutes, 30 minutes</v>
      </c>
    </row>
    <row r="22" customFormat="false" ht="14.25" hidden="false" customHeight="true" outlineLevel="0" collapsed="false">
      <c r="A22" s="7" t="str">
        <f aca="false">IFERROR(__xludf.dummyfunction("""COMPUTED_VALUE"""),"")</f>
        <v/>
      </c>
      <c r="C22" s="7" t="str">
        <f aca="false">IFERROR(__xludf.dummyfunction("""COMPUTED_VALUE"""),"SAEON Ndlovu Node office, Kruger Park")</f>
        <v>SAEON Ndlovu Node office, Kruger Park</v>
      </c>
      <c r="D22" s="7" t="str">
        <f aca="false">IFERROR(__xludf.dummyfunction("""COMPUTED_VALUE"""),"Dwarsberg weather station")</f>
        <v>Dwarsberg weather station</v>
      </c>
      <c r="E22" s="7" t="n">
        <f aca="false">IFERROR(__xludf.dummyfunction("""COMPUTED_VALUE"""),-33.999667)</f>
        <v>-33.999667</v>
      </c>
      <c r="F22" s="7" t="n">
        <f aca="false">IFERROR(__xludf.dummyfunction("""COMPUTED_VALUE"""),19.012972)</f>
        <v>19.012972</v>
      </c>
      <c r="G22" s="7" t="n">
        <f aca="false">IFERROR(__xludf.dummyfunction("""COMPUTED_VALUE"""),1214)</f>
        <v>1214</v>
      </c>
      <c r="I22" s="7" t="str">
        <f aca="false">IFERROR(__xludf.dummyfunction("""COMPUTED_VALUE"""),"Automatic Weather Station Davis ")</f>
        <v>Automatic Weather Station Davis </v>
      </c>
      <c r="J22" s="7" t="str">
        <f aca="false">IFERROR(__xludf.dummyfunction("""COMPUTED_VALUE"""),"Water quality - carbon")</f>
        <v>Water quality - carbon</v>
      </c>
      <c r="K22" s="29" t="n">
        <f aca="false">COUNTIF(Sites!J:J, J22)</f>
        <v>2</v>
      </c>
      <c r="L22" s="7" t="str">
        <f aca="false">IFERROR(__xludf.dummyfunction("""COMPUTED_VALUE"""),"Barometric pressure")</f>
        <v>Barometric pressure</v>
      </c>
      <c r="M22" s="7" t="str">
        <f aca="false">IFERROR(__xludf.dummyfunction("""COMPUTED_VALUE"""),"30 minutes, Hourly, Daily, Height change (3mm)")</f>
        <v>30 minutes, Hourly, Daily, Height change (3mm)</v>
      </c>
    </row>
    <row r="23" customFormat="false" ht="14.25" hidden="false" customHeight="true" outlineLevel="0" collapsed="false">
      <c r="C23" s="7" t="str">
        <f aca="false">IFERROR(__xludf.dummyfunction("""COMPUTED_VALUE"""),"Haenertsburg")</f>
        <v>Haenertsburg</v>
      </c>
      <c r="D23" s="7" t="str">
        <f aca="false">IFERROR(__xludf.dummyfunction("""COMPUTED_VALUE"""),"Langrivier 800 fog station")</f>
        <v>Langrivier 800 fog station</v>
      </c>
      <c r="E23" s="7" t="n">
        <f aca="false">IFERROR(__xludf.dummyfunction("""COMPUTED_VALUE"""),-33.97843)</f>
        <v>-33.97843</v>
      </c>
      <c r="F23" s="7" t="n">
        <f aca="false">IFERROR(__xludf.dummyfunction("""COMPUTED_VALUE"""),18.98284)</f>
        <v>18.98284</v>
      </c>
      <c r="G23" s="7" t="n">
        <f aca="false">IFERROR(__xludf.dummyfunction("""COMPUTED_VALUE"""),800)</f>
        <v>800</v>
      </c>
      <c r="I23" s="7" t="str">
        <f aca="false">IFERROR(__xludf.dummyfunction("""COMPUTED_VALUE"""),"Soil moisture pit Cambell Scientific")</f>
        <v>Soil moisture pit Cambell Scientific</v>
      </c>
      <c r="J23" s="7" t="str">
        <f aca="false">IFERROR(__xludf.dummyfunction("""COMPUTED_VALUE"""),"Surface renewal")</f>
        <v>Surface renewal</v>
      </c>
      <c r="K23" s="29" t="n">
        <f aca="false">COUNTIF(Sites!J:J, J23)</f>
        <v>2</v>
      </c>
      <c r="L23" s="7" t="str">
        <f aca="false">IFERROR(__xludf.dummyfunction("""COMPUTED_VALUE"""),"Ground Water level, conductivity")</f>
        <v>Ground Water level, conductivity</v>
      </c>
      <c r="M23" s="7" t="str">
        <f aca="false">IFERROR(__xludf.dummyfunction("""COMPUTED_VALUE"""),"Event or height change (10mm)")</f>
        <v>Event or height change (10mm)</v>
      </c>
    </row>
    <row r="24" customFormat="false" ht="14.25" hidden="false" customHeight="true" outlineLevel="0" collapsed="false">
      <c r="C24" s="7" t="str">
        <f aca="false">IFERROR(__xludf.dummyfunction("""COMPUTED_VALUE"""),"Olifants West Private Nature Reserve")</f>
        <v>Olifants West Private Nature Reserve</v>
      </c>
      <c r="D24" s="7" t="str">
        <f aca="false">IFERROR(__xludf.dummyfunction("""COMPUTED_VALUE"""),"Langrivier 700 fog station")</f>
        <v>Langrivier 700 fog station</v>
      </c>
      <c r="E24" s="7" t="n">
        <f aca="false">IFERROR(__xludf.dummyfunction("""COMPUTED_VALUE"""),-33.97808)</f>
        <v>-33.97808</v>
      </c>
      <c r="F24" s="7" t="n">
        <f aca="false">IFERROR(__xludf.dummyfunction("""COMPUTED_VALUE"""),18.97474)</f>
        <v>18.97474</v>
      </c>
      <c r="G24" s="7" t="n">
        <f aca="false">IFERROR(__xludf.dummyfunction("""COMPUTED_VALUE"""),700)</f>
        <v>700</v>
      </c>
      <c r="I24" s="7" t="str">
        <f aca="false">IFERROR(__xludf.dummyfunction("""COMPUTED_VALUE"""),"Automatic Weather Station, CS")</f>
        <v>Automatic Weather Station, CS</v>
      </c>
      <c r="J24" s="7" t="str">
        <f aca="false">IFERROR(__xludf.dummyfunction("""COMPUTED_VALUE"""),"Water quality  Water sample collector")</f>
        <v>Water quality  Water sample collector</v>
      </c>
      <c r="K24" s="29" t="n">
        <f aca="false">COUNTIF(Sites!J:J, J24)</f>
        <v>3</v>
      </c>
      <c r="L24" s="7" t="str">
        <f aca="false">IFERROR(__xludf.dummyfunction("""COMPUTED_VALUE"""),"Ground Water level- lake level")</f>
        <v>Ground Water level- lake level</v>
      </c>
      <c r="M24" s="7" t="str">
        <f aca="false">IFERROR(__xludf.dummyfunction("""COMPUTED_VALUE"""),"5 minutes")</f>
        <v>5 minutes</v>
      </c>
    </row>
    <row r="25" customFormat="false" ht="14.25" hidden="false" customHeight="true" outlineLevel="0" collapsed="false">
      <c r="C25" s="7" t="str">
        <f aca="false">IFERROR(__xludf.dummyfunction("""COMPUTED_VALUE"""),"Mariepskop, 1300m, at DAFF office")</f>
        <v>Mariepskop, 1300m, at DAFF office</v>
      </c>
      <c r="D25" s="7" t="str">
        <f aca="false">IFERROR(__xludf.dummyfunction("""COMPUTED_VALUE"""),"Langrivier 600 fog station")</f>
        <v>Langrivier 600 fog station</v>
      </c>
      <c r="E25" s="7" t="n">
        <f aca="false">IFERROR(__xludf.dummyfunction("""COMPUTED_VALUE"""),-33.98184)</f>
        <v>-33.98184</v>
      </c>
      <c r="F25" s="7" t="n">
        <f aca="false">IFERROR(__xludf.dummyfunction("""COMPUTED_VALUE"""),18.97064)</f>
        <v>18.97064</v>
      </c>
      <c r="G25" s="7" t="n">
        <f aca="false">IFERROR(__xludf.dummyfunction("""COMPUTED_VALUE"""),600)</f>
        <v>600</v>
      </c>
      <c r="I25" s="7" t="str">
        <f aca="false">IFERROR(__xludf.dummyfunction("""COMPUTED_VALUE"""),"Cosmic Ray sensor")</f>
        <v>Cosmic Ray sensor</v>
      </c>
      <c r="J25" s="7" t="str">
        <f aca="false">IFERROR(__xludf.dummyfunction("""COMPUTED_VALUE"""),"Water quality  ")</f>
        <v>Water quality  </v>
      </c>
      <c r="K25" s="29" t="n">
        <f aca="false">COUNTIF(Sites!J:J, J25)</f>
        <v>6</v>
      </c>
      <c r="L25" s="7" t="str">
        <f aca="false">IFERROR(__xludf.dummyfunction("""COMPUTED_VALUE"""),"Wind sp/dr, Air temp., HR, radiation, UV, ground temp., rainfall, baro.")</f>
        <v>Wind sp/dr, Air temp., HR, radiation, UV, ground temp., rainfall, baro.</v>
      </c>
      <c r="M25" s="7" t="str">
        <f aca="false">IFERROR(__xludf.dummyfunction("""COMPUTED_VALUE"""),"Event; 5min")</f>
        <v>Event; 5min</v>
      </c>
    </row>
    <row r="26" customFormat="false" ht="14.25" hidden="false" customHeight="true" outlineLevel="0" collapsed="false">
      <c r="C26" s="7" t="str">
        <f aca="false">IFERROR(__xludf.dummyfunction("""COMPUTED_VALUE"""),"Mariepskop, 1600m, eastern side")</f>
        <v>Mariepskop, 1600m, eastern side</v>
      </c>
      <c r="D26" s="7" t="str">
        <f aca="false">IFERROR(__xludf.dummyfunction("""COMPUTED_VALUE"""),"Langrivier 500 fog station")</f>
        <v>Langrivier 500 fog station</v>
      </c>
      <c r="E26" s="7" t="n">
        <f aca="false">IFERROR(__xludf.dummyfunction("""COMPUTED_VALUE"""),-33.98376)</f>
        <v>-33.98376</v>
      </c>
      <c r="F26" s="7" t="n">
        <f aca="false">IFERROR(__xludf.dummyfunction("""COMPUTED_VALUE"""),18.96977)</f>
        <v>18.96977</v>
      </c>
      <c r="G26" s="7" t="n">
        <f aca="false">IFERROR(__xludf.dummyfunction("""COMPUTED_VALUE"""),500)</f>
        <v>500</v>
      </c>
      <c r="I26" s="7" t="str">
        <f aca="false">IFERROR(__xludf.dummyfunction("""COMPUTED_VALUE"""),"Automatic Weather Station CS AWS")</f>
        <v>Automatic Weather Station CS AWS</v>
      </c>
      <c r="J26" s="7" t="str">
        <f aca="false">IFERROR(__xludf.dummyfunction("""COMPUTED_VALUE"""),"Soil moisture - diviner")</f>
        <v>Soil moisture - diviner</v>
      </c>
      <c r="K26" s="29" t="n">
        <f aca="false">COUNTIF(Sites!J:J, J26)</f>
        <v>18</v>
      </c>
      <c r="L26" s="7" t="str">
        <f aca="false">IFERROR(__xludf.dummyfunction("""COMPUTED_VALUE"""),"Wind sp/dr, Air temp&amp; RH, Rainfall")</f>
        <v>Wind sp/dr, Air temp&amp; RH, Rainfall</v>
      </c>
      <c r="M26" s="7" t="str">
        <f aca="false">IFERROR(__xludf.dummyfunction("""COMPUTED_VALUE"""),"5 minute")</f>
        <v>5 minute</v>
      </c>
    </row>
    <row r="27" customFormat="false" ht="14.25" hidden="false" customHeight="true" outlineLevel="0" collapsed="false">
      <c r="C27" s="7" t="str">
        <f aca="false">IFERROR(__xludf.dummyfunction("""COMPUTED_VALUE"""),"Letaba Exclosure, Kruger National Park")</f>
        <v>Letaba Exclosure, Kruger National Park</v>
      </c>
      <c r="D27" s="7" t="str">
        <f aca="false">IFERROR(__xludf.dummyfunction("""COMPUTED_VALUE"""),"Jonkershoek eddy covariance ")</f>
        <v>Jonkershoek eddy covariance </v>
      </c>
      <c r="E27" s="7" t="n">
        <f aca="false">IFERROR(__xludf.dummyfunction("""COMPUTED_VALUE"""),-33.990289)</f>
        <v>-33.990289</v>
      </c>
      <c r="F27" s="7" t="n">
        <f aca="false">IFERROR(__xludf.dummyfunction("""COMPUTED_VALUE"""),18.95543)</f>
        <v>18.95543</v>
      </c>
      <c r="G27" s="7" t="str">
        <f aca="false">IFERROR(__xludf.dummyfunction("""COMPUTED_VALUE"""),"")</f>
        <v/>
      </c>
      <c r="I27" s="7" t="str">
        <f aca="false">IFERROR(__xludf.dummyfunction("""COMPUTED_VALUE"""),"Soil respiration chambers: Licor 8100 8 chamber")</f>
        <v>Soil respiration chambers: Licor 8100 8 chamber</v>
      </c>
      <c r="J27" s="7" t="str">
        <f aca="false">IFERROR(__xludf.dummyfunction("""COMPUTED_VALUE"""),"Surface renewal ")</f>
        <v>Surface renewal </v>
      </c>
      <c r="K27" s="29" t="n">
        <f aca="false">COUNTIF(Sites!J:J, J27)</f>
        <v>2</v>
      </c>
      <c r="L27" s="7" t="str">
        <f aca="false">IFERROR(__xludf.dummyfunction("""COMPUTED_VALUE"""),"Ground Water level: IN STREAM")</f>
        <v>Ground Water level: IN STREAM</v>
      </c>
      <c r="M27" s="7" t="str">
        <f aca="false">IFERROR(__xludf.dummyfunction("""COMPUTED_VALUE"""),"")</f>
        <v/>
      </c>
    </row>
    <row r="28" customFormat="false" ht="14.25" hidden="false" customHeight="true" outlineLevel="0" collapsed="false">
      <c r="C28" s="7" t="str">
        <f aca="false">IFERROR(__xludf.dummyfunction("""COMPUTED_VALUE"""),"Nkateko High School")</f>
        <v>Nkateko High School</v>
      </c>
      <c r="D28" s="7" t="str">
        <f aca="false">IFERROR(__xludf.dummyfunction("""COMPUTED_VALUE"""),"Hospital Bend weather station")</f>
        <v>Hospital Bend weather station</v>
      </c>
      <c r="E28" s="7" t="n">
        <f aca="false">IFERROR(__xludf.dummyfunction("""COMPUTED_VALUE"""),-33.949319)</f>
        <v>-33.949319</v>
      </c>
      <c r="F28" s="7" t="n">
        <f aca="false">IFERROR(__xludf.dummyfunction("""COMPUTED_VALUE"""),18.462647)</f>
        <v>18.462647</v>
      </c>
      <c r="G28" s="7" t="n">
        <f aca="false">IFERROR(__xludf.dummyfunction("""COMPUTED_VALUE"""),86)</f>
        <v>86</v>
      </c>
      <c r="I28" s="7" t="str">
        <f aca="false">IFERROR(__xludf.dummyfunction("""COMPUTED_VALUE"""),"Spectral probe")</f>
        <v>Spectral probe</v>
      </c>
      <c r="J28" s="7" t="str">
        <f aca="false">IFERROR(__xludf.dummyfunction("""COMPUTED_VALUE"""),"Tipping bucket")</f>
        <v>Tipping bucket</v>
      </c>
      <c r="K28" s="29" t="n">
        <f aca="false">COUNTIF(Sites!J:J, J28)</f>
        <v>4</v>
      </c>
      <c r="L28" s="7" t="str">
        <f aca="false">IFERROR(__xludf.dummyfunction("""COMPUTED_VALUE"""),"Flow discharge (cumecs) stream profile")</f>
        <v>Flow discharge (cumecs) stream profile</v>
      </c>
    </row>
    <row r="29" customFormat="false" ht="14.25" hidden="false" customHeight="true" outlineLevel="0" collapsed="false">
      <c r="C29" s="7" t="str">
        <f aca="false">IFERROR(__xludf.dummyfunction("""COMPUTED_VALUE"""),"Sebalamakgolo High School")</f>
        <v>Sebalamakgolo High School</v>
      </c>
      <c r="D29" s="7" t="str">
        <f aca="false">IFERROR(__xludf.dummyfunction("""COMPUTED_VALUE"""),"Hospital Bend rain station")</f>
        <v>Hospital Bend rain station</v>
      </c>
      <c r="E29" s="7" t="n">
        <f aca="false">IFERROR(__xludf.dummyfunction("""COMPUTED_VALUE"""),-33.948398)</f>
        <v>-33.948398</v>
      </c>
      <c r="F29" s="7" t="n">
        <f aca="false">IFERROR(__xludf.dummyfunction("""COMPUTED_VALUE"""),18.464681)</f>
        <v>18.464681</v>
      </c>
      <c r="G29" s="7" t="n">
        <f aca="false">IFERROR(__xludf.dummyfunction("""COMPUTED_VALUE"""),48)</f>
        <v>48</v>
      </c>
      <c r="I29" s="7" t="str">
        <f aca="false">IFERROR(__xludf.dummyfunction("""COMPUTED_VALUE"""),"Surface renewal system")</f>
        <v>Surface renewal system</v>
      </c>
      <c r="J29" s="7" t="str">
        <f aca="false">IFERROR(__xludf.dummyfunction("""COMPUTED_VALUE"""),"Mist collector")</f>
        <v>Mist collector</v>
      </c>
      <c r="K29" s="29" t="n">
        <f aca="false">COUNTIF(Sites!J:J, J29)</f>
        <v>1</v>
      </c>
      <c r="L29" s="7" t="str">
        <f aca="false">IFERROR(__xludf.dummyfunction("""COMPUTED_VALUE"""),"Wind sp/dr, Air temp., HR, rainfall, baro.")</f>
        <v>Wind sp/dr, Air temp., HR, rainfall, baro.</v>
      </c>
    </row>
    <row r="30" customFormat="false" ht="14.25" hidden="false" customHeight="true" outlineLevel="0" collapsed="false">
      <c r="C30" s="7" t="str">
        <f aca="false">IFERROR(__xludf.dummyfunction("""COMPUTED_VALUE"""),"Palabora Copper mine")</f>
        <v>Palabora Copper mine</v>
      </c>
      <c r="D30" s="7" t="str">
        <f aca="false">IFERROR(__xludf.dummyfunction("""COMPUTED_VALUE"""),"Hospital Bend A Top soil moisture")</f>
        <v>Hospital Bend A Top soil moisture</v>
      </c>
      <c r="E30" s="7" t="n">
        <f aca="false">IFERROR(__xludf.dummyfunction("""COMPUTED_VALUE"""),-33.948288)</f>
        <v>-33.948288</v>
      </c>
      <c r="F30" s="7" t="n">
        <f aca="false">IFERROR(__xludf.dummyfunction("""COMPUTED_VALUE"""),18.465317)</f>
        <v>18.465317</v>
      </c>
      <c r="G30" s="7" t="n">
        <f aca="false">IFERROR(__xludf.dummyfunction("""COMPUTED_VALUE"""),43)</f>
        <v>43</v>
      </c>
      <c r="I30" s="7" t="str">
        <f aca="false">IFERROR(__xludf.dummyfunction("""COMPUTED_VALUE"""),"Pressure transducer CS ")</f>
        <v>Pressure transducer CS </v>
      </c>
      <c r="J30" s="7" t="str">
        <f aca="false">IFERROR(__xludf.dummyfunction("""COMPUTED_VALUE"""),"Soil moisture sensor")</f>
        <v>Soil moisture sensor</v>
      </c>
      <c r="K30" s="29" t="n">
        <f aca="false">COUNTIF(Sites!J:J, J30)</f>
        <v>6</v>
      </c>
      <c r="L30" s="7" t="str">
        <f aca="false">IFERROR(__xludf.dummyfunction("""COMPUTED_VALUE"""),"Soil moisture")</f>
        <v>Soil moisture</v>
      </c>
    </row>
    <row r="31" customFormat="false" ht="14.25" hidden="false" customHeight="true" outlineLevel="0" collapsed="false">
      <c r="C31" s="7" t="str">
        <f aca="false">IFERROR(__xludf.dummyfunction("""COMPUTED_VALUE"""),"Mica")</f>
        <v>Mica</v>
      </c>
      <c r="D31" s="7" t="str">
        <f aca="false">IFERROR(__xludf.dummyfunction("""COMPUTED_VALUE"""),"Hospital Bend D Top soil moisture")</f>
        <v>Hospital Bend D Top soil moisture</v>
      </c>
      <c r="E31" s="7" t="n">
        <f aca="false">IFERROR(__xludf.dummyfunction("""COMPUTED_VALUE"""),-33.947626)</f>
        <v>-33.947626</v>
      </c>
      <c r="F31" s="7" t="n">
        <f aca="false">IFERROR(__xludf.dummyfunction("""COMPUTED_VALUE"""),18.465857)</f>
        <v>18.465857</v>
      </c>
      <c r="G31" s="7" t="n">
        <f aca="false">IFERROR(__xludf.dummyfunction("""COMPUTED_VALUE"""),40)</f>
        <v>40</v>
      </c>
      <c r="I31" s="7" t="str">
        <f aca="false">IFERROR(__xludf.dummyfunction("""COMPUTED_VALUE"""),"ISCO Sampler")</f>
        <v>ISCO Sampler</v>
      </c>
      <c r="J31" s="7" t="str">
        <f aca="false">IFERROR(__xludf.dummyfunction("""COMPUTED_VALUE"""),"")</f>
        <v/>
      </c>
      <c r="L31" s="7" t="str">
        <f aca="false">IFERROR(__xludf.dummyfunction("""COMPUTED_VALUE"""),"Soil Moisture")</f>
        <v>Soil Moisture</v>
      </c>
    </row>
    <row r="32" customFormat="false" ht="14.25" hidden="false" customHeight="true" outlineLevel="0" collapsed="false">
      <c r="C32" s="7" t="str">
        <f aca="false">IFERROR(__xludf.dummyfunction("""COMPUTED_VALUE"""),"Southern Cross School")</f>
        <v>Southern Cross School</v>
      </c>
      <c r="D32" s="7" t="str">
        <f aca="false">IFERROR(__xludf.dummyfunction("""COMPUTED_VALUE"""),"Hospital Bend D Bottom soil moisture")</f>
        <v>Hospital Bend D Bottom soil moisture</v>
      </c>
      <c r="E32" s="7" t="n">
        <f aca="false">IFERROR(__xludf.dummyfunction("""COMPUTED_VALUE"""),-33.948135)</f>
        <v>-33.948135</v>
      </c>
      <c r="F32" s="7" t="n">
        <f aca="false">IFERROR(__xludf.dummyfunction("""COMPUTED_VALUE"""),18.466112)</f>
        <v>18.466112</v>
      </c>
      <c r="G32" s="7" t="n">
        <f aca="false">IFERROR(__xludf.dummyfunction("""COMPUTED_VALUE"""),890)</f>
        <v>890</v>
      </c>
      <c r="I32" s="7" t="str">
        <f aca="false">IFERROR(__xludf.dummyfunction("""COMPUTED_VALUE"""),"Water Quality - Phys-chem YSI")</f>
        <v>Water Quality - Phys-chem YSI</v>
      </c>
      <c r="L32" s="7" t="str">
        <f aca="false">IFERROR(__xludf.dummyfunction("""COMPUTED_VALUE"""),"Wind sp/dr, Air temp., HR, radiation, rainfall, baro.")</f>
        <v>Wind sp/dr, Air temp., HR, radiation, rainfall, baro.</v>
      </c>
    </row>
    <row r="33" customFormat="false" ht="14.25" hidden="false" customHeight="true" outlineLevel="0" collapsed="false">
      <c r="C33" s="7" t="str">
        <f aca="false">IFERROR(__xludf.dummyfunction("""COMPUTED_VALUE"""),"Frans du Toit High School")</f>
        <v>Frans du Toit High School</v>
      </c>
      <c r="D33" s="7" t="str">
        <f aca="false">IFERROR(__xludf.dummyfunction("""COMPUTED_VALUE"""),"Hospital Bend A Bottom soil moisture")</f>
        <v>Hospital Bend A Bottom soil moisture</v>
      </c>
      <c r="E33" s="7" t="n">
        <f aca="false">IFERROR(__xludf.dummyfunction("""COMPUTED_VALUE"""),-34.055007)</f>
        <v>-34.055007</v>
      </c>
      <c r="F33" s="7" t="n">
        <f aca="false">IFERROR(__xludf.dummyfunction("""COMPUTED_VALUE"""),18.38745)</f>
        <v>18.38745</v>
      </c>
      <c r="G33" s="7" t="n">
        <f aca="false">IFERROR(__xludf.dummyfunction("""COMPUTED_VALUE"""),1576)</f>
        <v>1576</v>
      </c>
      <c r="I33" s="7" t="str">
        <f aca="false">IFERROR(__xludf.dummyfunction("""COMPUTED_VALUE"""),"Pressure transducer OTT ")</f>
        <v>Pressure transducer OTT </v>
      </c>
      <c r="L33" s="7" t="str">
        <f aca="false">IFERROR(__xludf.dummyfunction("""COMPUTED_VALUE"""),"CO2 + H2O flux, net radiation, soil heat flux,  soil &amp; air temperature, humidity, soil moisture, wind s&amp;d")</f>
        <v>CO2 + H2O flux, net radiation, soil heat flux,  soil &amp; air temperature, humidity, soil moisture, wind s&amp;d</v>
      </c>
    </row>
    <row r="34" customFormat="false" ht="14.25" hidden="false" customHeight="true" outlineLevel="0" collapsed="false">
      <c r="C34" s="7" t="str">
        <f aca="false">IFERROR(__xludf.dummyfunction("""COMPUTED_VALUE"""),"Kingfisher Private School")</f>
        <v>Kingfisher Private School</v>
      </c>
      <c r="D34" s="7" t="str">
        <f aca="false">IFERROR(__xludf.dummyfunction("""COMPUTED_VALUE"""),"Constantiaberg weather station")</f>
        <v>Constantiaberg weather station</v>
      </c>
      <c r="E34" s="7" t="n">
        <f aca="false">IFERROR(__xludf.dummyfunction("""COMPUTED_VALUE"""),-32.34862845)</f>
        <v>-32.34862845</v>
      </c>
      <c r="F34" s="7" t="n">
        <f aca="false">IFERROR(__xludf.dummyfunction("""COMPUTED_VALUE"""),19.17024213)</f>
        <v>19.17024213</v>
      </c>
      <c r="G34" s="7" t="n">
        <f aca="false">IFERROR(__xludf.dummyfunction("""COMPUTED_VALUE"""),1537)</f>
        <v>1537</v>
      </c>
      <c r="I34" s="7" t="str">
        <f aca="false">IFERROR(__xludf.dummyfunction("""COMPUTED_VALUE"""),"Pressure transducers OTT &amp; CS  ")</f>
        <v>Pressure transducers OTT &amp; CS  </v>
      </c>
      <c r="L34" s="7" t="str">
        <f aca="false">IFERROR(__xludf.dummyfunction("""COMPUTED_VALUE"""),"Wind sp/dr, Air temp., HR, radiation, ground temp., rainfall, snowfall, soil moisture, baro.")</f>
        <v>Wind sp/dr, Air temp., HR, radiation, ground temp., rainfall, snowfall, soil moisture, baro.</v>
      </c>
    </row>
    <row r="35" customFormat="false" ht="14.25" hidden="false" customHeight="true" outlineLevel="0" collapsed="false">
      <c r="C35" s="7" t="str">
        <f aca="false">IFERROR(__xludf.dummyfunction("""COMPUTED_VALUE"""),"Letaba Section Ranger, Kruger National Park")</f>
        <v>Letaba Section Ranger, Kruger National Park</v>
      </c>
      <c r="D35" s="7" t="str">
        <f aca="false">IFERROR(__xludf.dummyfunction("""COMPUTED_VALUE"""),"Sneeukop hut raingauge")</f>
        <v>Sneeukop hut raingauge</v>
      </c>
      <c r="E35" s="7" t="n">
        <f aca="false">IFERROR(__xludf.dummyfunction("""COMPUTED_VALUE"""),-32.35355187)</f>
        <v>-32.35355187</v>
      </c>
      <c r="F35" s="7" t="n">
        <f aca="false">IFERROR(__xludf.dummyfunction("""COMPUTED_VALUE"""),19.15030551)</f>
        <v>19.15030551</v>
      </c>
      <c r="G35" s="7" t="n">
        <f aca="false">IFERROR(__xludf.dummyfunction("""COMPUTED_VALUE"""),1310)</f>
        <v>1310</v>
      </c>
      <c r="I35" s="7" t="str">
        <f aca="false">IFERROR(__xludf.dummyfunction("""COMPUTED_VALUE"""),"Soil Diviner tube")</f>
        <v>Soil Diviner tube</v>
      </c>
      <c r="L35" s="7" t="str">
        <f aca="false">IFERROR(__xludf.dummyfunction("""COMPUTED_VALUE"""),"Soil respiration (CO2 + H2O flux, soil moisture, air and soil temperature, solar radiation, Baro")</f>
        <v>Soil respiration (CO2 + H2O flux, soil moisture, air and soil temperature, solar radiation, Baro</v>
      </c>
    </row>
    <row r="36" customFormat="false" ht="14.25" hidden="false" customHeight="true" outlineLevel="0" collapsed="false">
      <c r="C36" s="7" t="str">
        <f aca="false">IFERROR(__xludf.dummyfunction("""COMPUTED_VALUE"""),"Nwa'netsi Section Ranger, Kruger National Park")</f>
        <v>Nwa'netsi Section Ranger, Kruger National Park</v>
      </c>
      <c r="D36" s="7" t="str">
        <f aca="false">IFERROR(__xludf.dummyfunction("""COMPUTED_VALUE"""),"Engelsmanskloof weather station")</f>
        <v>Engelsmanskloof weather station</v>
      </c>
      <c r="E36" s="7" t="n">
        <f aca="false">IFERROR(__xludf.dummyfunction("""COMPUTED_VALUE"""),-32.48524612)</f>
        <v>-32.48524612</v>
      </c>
      <c r="F36" s="7" t="n">
        <f aca="false">IFERROR(__xludf.dummyfunction("""COMPUTED_VALUE"""),19.16132639)</f>
        <v>19.16132639</v>
      </c>
      <c r="G36" s="7" t="n">
        <f aca="false">IFERROR(__xludf.dummyfunction("""COMPUTED_VALUE"""),318)</f>
        <v>318</v>
      </c>
      <c r="I36" s="7" t="str">
        <f aca="false">IFERROR(__xludf.dummyfunction("""COMPUTED_VALUE"""),"Automatic Weather Station  CS ")</f>
        <v>Automatic Weather Station  CS </v>
      </c>
      <c r="L36" s="7" t="str">
        <f aca="false">IFERROR(__xludf.dummyfunction("""COMPUTED_VALUE"""),"Fog")</f>
        <v>Fog</v>
      </c>
    </row>
    <row r="37" customFormat="false" ht="14.25" hidden="false" customHeight="true" outlineLevel="0" collapsed="false">
      <c r="C37" s="7" t="str">
        <f aca="false">IFERROR(__xludf.dummyfunction("""COMPUTED_VALUE"""),"Phalaubeni village")</f>
        <v>Phalaubeni village</v>
      </c>
      <c r="D37" s="7" t="str">
        <f aca="false">IFERROR(__xludf.dummyfunction("""COMPUTED_VALUE"""),"Sneeuberg raingauge")</f>
        <v>Sneeuberg raingauge</v>
      </c>
      <c r="E37" s="7" t="n">
        <f aca="false">IFERROR(__xludf.dummyfunction("""COMPUTED_VALUE"""),-33.98629)</f>
        <v>-33.98629</v>
      </c>
      <c r="F37" s="7" t="n">
        <f aca="false">IFERROR(__xludf.dummyfunction("""COMPUTED_VALUE"""),18.954605)</f>
        <v>18.954605</v>
      </c>
      <c r="G37" s="7" t="n">
        <f aca="false">IFERROR(__xludf.dummyfunction("""COMPUTED_VALUE"""),239)</f>
        <v>239</v>
      </c>
      <c r="I37" s="7" t="str">
        <f aca="false">IFERROR(__xludf.dummyfunction("""COMPUTED_VALUE"""),"Baralogger")</f>
        <v>Baralogger</v>
      </c>
      <c r="L37" s="7" t="str">
        <f aca="false">IFERROR(__xludf.dummyfunction("""COMPUTED_VALUE"""),"Wind sp/dr, Air temp., HR, radiation, ground temp., rainfall, Fog, baro.")</f>
        <v>Wind sp/dr, Air temp., HR, radiation, ground temp., rainfall, Fog, baro.</v>
      </c>
    </row>
    <row r="38" customFormat="false" ht="14.25" hidden="false" customHeight="true" outlineLevel="0" collapsed="false">
      <c r="C38" s="7" t="str">
        <f aca="false">IFERROR(__xludf.dummyfunction("""COMPUTED_VALUE"""),"Mthimkhulu Main Gate")</f>
        <v>Mthimkhulu Main Gate</v>
      </c>
      <c r="D38" s="7" t="str">
        <f aca="false">IFERROR(__xludf.dummyfunction("""COMPUTED_VALUE"""),"Swartboschkloof - Not SAEON")</f>
        <v>Swartboschkloof - Not SAEON</v>
      </c>
      <c r="E38" s="7" t="n">
        <f aca="false">IFERROR(__xludf.dummyfunction("""COMPUTED_VALUE"""),-33.967)</f>
        <v>-33.967</v>
      </c>
      <c r="F38" s="7" t="n">
        <f aca="false">IFERROR(__xludf.dummyfunction("""COMPUTED_VALUE"""),18.922)</f>
        <v>18.922</v>
      </c>
      <c r="G38" s="7" t="n">
        <f aca="false">IFERROR(__xludf.dummyfunction("""COMPUTED_VALUE"""),460)</f>
        <v>460</v>
      </c>
      <c r="I38" s="7" t="str">
        <f aca="false">IFERROR(__xludf.dummyfunction("""COMPUTED_VALUE"""),"Texas Instruments tipping bucket with Hobo Pendant")</f>
        <v>Texas Instruments tipping bucket with Hobo Pendant</v>
      </c>
      <c r="L38" s="7" t="str">
        <f aca="false">IFERROR(__xludf.dummyfunction("""COMPUTED_VALUE"""),"Wind sp/dr, Air temp., HR, radiation, ground temp., rainfall, baro.")</f>
        <v>Wind sp/dr, Air temp., HR, radiation, ground temp., rainfall, baro.</v>
      </c>
    </row>
    <row r="39" customFormat="false" ht="14.25" hidden="false" customHeight="true" outlineLevel="0" collapsed="false">
      <c r="C39" s="7" t="str">
        <f aca="false">IFERROR(__xludf.dummyfunction("""COMPUTED_VALUE"""),"Mahale Farm")</f>
        <v>Mahale Farm</v>
      </c>
      <c r="D39" s="7" t="str">
        <f aca="false">IFERROR(__xludf.dummyfunction("""COMPUTED_VALUE"""),"Herehuis - Not SAEON")</f>
        <v>Herehuis - Not SAEON</v>
      </c>
      <c r="E39" s="7" t="n">
        <f aca="false">IFERROR(__xludf.dummyfunction("""COMPUTED_VALUE"""),-33.9565883481517)</f>
        <v>-33.95658835</v>
      </c>
      <c r="F39" s="7" t="n">
        <f aca="false">IFERROR(__xludf.dummyfunction("""COMPUTED_VALUE"""),18.4238848423431)</f>
        <v>18.42388484</v>
      </c>
      <c r="G39" s="7" t="n">
        <f aca="false">IFERROR(__xludf.dummyfunction("""COMPUTED_VALUE"""),698)</f>
        <v>698</v>
      </c>
      <c r="I39" s="7" t="str">
        <f aca="false">IFERROR(__xludf.dummyfunction("""COMPUTED_VALUE"""),"Texas Instruments tipping bucket with Hobo Pendant and mist collector column mounted on bucket")</f>
        <v>Texas Instruments tipping bucket with Hobo Pendant and mist collector column mounted on bucket</v>
      </c>
      <c r="L39" s="7" t="str">
        <f aca="false">IFERROR(__xludf.dummyfunction("""COMPUTED_VALUE"""),"DOC, TOC Measures water quailty, ")</f>
        <v>DOC, TOC Measures water quailty, </v>
      </c>
    </row>
    <row r="40" customFormat="false" ht="14.25" hidden="false" customHeight="true" outlineLevel="0" collapsed="false">
      <c r="C40" s="7" t="str">
        <f aca="false">IFERROR(__xludf.dummyfunction("""COMPUTED_VALUE"""),"Compassberg")</f>
        <v>Compassberg</v>
      </c>
      <c r="D40" s="7" t="str">
        <f aca="false">IFERROR(__xludf.dummyfunction("""COMPUTED_VALUE"""),"DP01")</f>
        <v>DP01</v>
      </c>
      <c r="E40" s="7" t="n">
        <f aca="false">IFERROR(__xludf.dummyfunction("""COMPUTED_VALUE"""),-33.9582286098984)</f>
        <v>-33.95822861</v>
      </c>
      <c r="F40" s="7" t="n">
        <f aca="false">IFERROR(__xludf.dummyfunction("""COMPUTED_VALUE"""),18.4337782192486)</f>
        <v>18.43377822</v>
      </c>
      <c r="G40" s="7" t="n">
        <f aca="false">IFERROR(__xludf.dummyfunction("""COMPUTED_VALUE"""),815)</f>
        <v>815</v>
      </c>
      <c r="I40" s="7" t="str">
        <f aca="false">IFERROR(__xludf.dummyfunction("""COMPUTED_VALUE"""),"Campbell Scientific 655")</f>
        <v>Campbell Scientific 655</v>
      </c>
      <c r="L40" s="7" t="str">
        <f aca="false">IFERROR(__xludf.dummyfunction("""COMPUTED_VALUE"""),"Net Radiation (Short-wave and Long-wave of both Incoming and Outgoing + Albedo), Air Temperature (standard and high frequency), Windspeed and Direction, Soil Temperature, Moisture and Heatflux")</f>
        <v>Net Radiation (Short-wave and Long-wave of both Incoming and Outgoing + Albedo), Air Temperature (standard and high frequency), Windspeed and Direction, Soil Temperature, Moisture and Heatflux</v>
      </c>
    </row>
    <row r="41" customFormat="false" ht="14.25" hidden="false" customHeight="true" outlineLevel="0" collapsed="false">
      <c r="C41" s="7" t="str">
        <f aca="false">IFERROR(__xludf.dummyfunction("""COMPUTED_VALUE"""),"Benfontein")</f>
        <v>Benfontein</v>
      </c>
      <c r="D41" s="7" t="str">
        <f aca="false">IFERROR(__xludf.dummyfunction("""COMPUTED_VALUE"""),"DP03")</f>
        <v>DP03</v>
      </c>
      <c r="E41" s="7" t="n">
        <f aca="false">IFERROR(__xludf.dummyfunction("""COMPUTED_VALUE"""),-33.9530416425349)</f>
        <v>-33.95304164</v>
      </c>
      <c r="F41" s="7" t="n">
        <f aca="false">IFERROR(__xludf.dummyfunction("""COMPUTED_VALUE"""),18.4375258011238)</f>
        <v>18.4375258</v>
      </c>
      <c r="G41" s="7" t="n">
        <f aca="false">IFERROR(__xludf.dummyfunction("""COMPUTED_VALUE"""),972)</f>
        <v>972</v>
      </c>
      <c r="I41" s="7" t="str">
        <f aca="false">IFERROR(__xludf.dummyfunction("""COMPUTED_VALUE"""),"")</f>
        <v/>
      </c>
      <c r="L41" s="7" t="str">
        <f aca="false">IFERROR(__xludf.dummyfunction("""COMPUTED_VALUE"""),"Streamflow, Water Temperature")</f>
        <v>Streamflow, Water Temperature</v>
      </c>
    </row>
    <row r="42" customFormat="false" ht="14.25" hidden="false" customHeight="true" outlineLevel="0" collapsed="false">
      <c r="C42" s="7" t="str">
        <f aca="false">IFERROR(__xludf.dummyfunction("""COMPUTED_VALUE"""),"Tierberg LTER")</f>
        <v>Tierberg LTER</v>
      </c>
      <c r="D42" s="7" t="str">
        <f aca="false">IFERROR(__xludf.dummyfunction("""COMPUTED_VALUE"""),"DP04")</f>
        <v>DP04</v>
      </c>
      <c r="E42" s="7" t="n">
        <f aca="false">IFERROR(__xludf.dummyfunction("""COMPUTED_VALUE"""),-33.9550436162956)</f>
        <v>-33.95504362</v>
      </c>
      <c r="F42" s="7" t="n">
        <f aca="false">IFERROR(__xludf.dummyfunction("""COMPUTED_VALUE"""),18.4401488199577)</f>
        <v>18.44014882</v>
      </c>
      <c r="G42" s="7" t="n">
        <f aca="false">IFERROR(__xludf.dummyfunction("""COMPUTED_VALUE"""),716)</f>
        <v>716</v>
      </c>
      <c r="L42" s="7" t="str">
        <f aca="false">IFERROR(__xludf.dummyfunction("""COMPUTED_VALUE"""),"Water samples")</f>
        <v>Water samples</v>
      </c>
    </row>
    <row r="43" customFormat="false" ht="14.25" hidden="false" customHeight="true" outlineLevel="0" collapsed="false">
      <c r="C43" s="7" t="str">
        <f aca="false">IFERROR(__xludf.dummyfunction("""COMPUTED_VALUE"""),"Wolwekraal")</f>
        <v>Wolwekraal</v>
      </c>
      <c r="D43" s="7" t="str">
        <f aca="false">IFERROR(__xludf.dummyfunction("""COMPUTED_VALUE"""),"DP05")</f>
        <v>DP05</v>
      </c>
      <c r="E43" s="7" t="n">
        <f aca="false">IFERROR(__xludf.dummyfunction("""COMPUTED_VALUE"""),-33.956250264001)</f>
        <v>-33.95625026</v>
      </c>
      <c r="F43" s="7" t="n">
        <f aca="false">IFERROR(__xludf.dummyfunction("""COMPUTED_VALUE"""),18.4340215765285)</f>
        <v>18.43402158</v>
      </c>
      <c r="G43" s="7" t="n">
        <f aca="false">IFERROR(__xludf.dummyfunction("""COMPUTED_VALUE"""),160)</f>
        <v>160</v>
      </c>
      <c r="L43" s="7" t="str">
        <f aca="false">IFERROR(__xludf.dummyfunction("""COMPUTED_VALUE"""),"Temperature, salinity, conductivity, DO, TDS, pH, ORP")</f>
        <v>Temperature, salinity, conductivity, DO, TDS, pH, ORP</v>
      </c>
    </row>
    <row r="44" customFormat="false" ht="14.25" hidden="false" customHeight="true" outlineLevel="0" collapsed="false">
      <c r="C44" s="7" t="str">
        <f aca="false">IFERROR(__xludf.dummyfunction("""COMPUTED_VALUE"""),"Greater Letaba River")</f>
        <v>Greater Letaba River</v>
      </c>
      <c r="D44" s="7" t="str">
        <f aca="false">IFERROR(__xludf.dummyfunction("""COMPUTED_VALUE"""),"DP06")</f>
        <v>DP06</v>
      </c>
      <c r="E44" s="7" t="n">
        <f aca="false">IFERROR(__xludf.dummyfunction("""COMPUTED_VALUE"""),-33.9859401732963)</f>
        <v>-33.98594017</v>
      </c>
      <c r="F44" s="7" t="n">
        <f aca="false">IFERROR(__xludf.dummyfunction("""COMPUTED_VALUE"""),18.430650658135)</f>
        <v>18.43065066</v>
      </c>
      <c r="G44" s="7" t="n">
        <f aca="false">IFERROR(__xludf.dummyfunction("""COMPUTED_VALUE"""),236)</f>
        <v>236</v>
      </c>
      <c r="L44" s="7" t="str">
        <f aca="false">IFERROR(__xludf.dummyfunction("""COMPUTED_VALUE"""),"Soil water  content (every 10cm to a depth of 110cm)")</f>
        <v>Soil water  content (every 10cm to a depth of 110cm)</v>
      </c>
    </row>
    <row r="45" customFormat="false" ht="14.25" hidden="false" customHeight="true" outlineLevel="0" collapsed="false">
      <c r="C45" s="7" t="str">
        <f aca="false">IFERROR(__xludf.dummyfunction("""COMPUTED_VALUE"""),"Mariepskop")</f>
        <v>Mariepskop</v>
      </c>
      <c r="D45" s="7" t="str">
        <f aca="false">IFERROR(__xludf.dummyfunction("""COMPUTED_VALUE"""),"E2.KBG")</f>
        <v>E2.KBG</v>
      </c>
      <c r="E45" s="7" t="n">
        <f aca="false">IFERROR(__xludf.dummyfunction("""COMPUTED_VALUE"""),-33.9891532051402)</f>
        <v>-33.98915321</v>
      </c>
      <c r="F45" s="7" t="n">
        <f aca="false">IFERROR(__xludf.dummyfunction("""COMPUTED_VALUE"""),18.4247851721281)</f>
        <v>18.42478517</v>
      </c>
      <c r="G45" s="7" t="n">
        <f aca="false">IFERROR(__xludf.dummyfunction("""COMPUTED_VALUE"""),518)</f>
        <v>518</v>
      </c>
      <c r="L45" s="7" t="str">
        <f aca="false">IFERROR(__xludf.dummyfunction("""COMPUTED_VALUE"""),"Meterological station")</f>
        <v>Meterological station</v>
      </c>
    </row>
    <row r="46" customFormat="false" ht="14.25" hidden="false" customHeight="true" outlineLevel="0" collapsed="false">
      <c r="C46" s="7" t="str">
        <f aca="false">IFERROR(__xludf.dummyfunction("""COMPUTED_VALUE"""),"Mthimkhulu")</f>
        <v>Mthimkhulu</v>
      </c>
      <c r="D46" s="7" t="str">
        <f aca="false">IFERROR(__xludf.dummyfunction("""COMPUTED_VALUE"""),"E3.KBM")</f>
        <v>E3.KBM</v>
      </c>
      <c r="E46" s="7" t="n">
        <f aca="false">IFERROR(__xludf.dummyfunction("""COMPUTED_VALUE"""),-33.9852421670277)</f>
        <v>-33.98524217</v>
      </c>
      <c r="F46" s="7" t="n">
        <f aca="false">IFERROR(__xludf.dummyfunction("""COMPUTED_VALUE"""),18.4192754567662)</f>
        <v>18.41927546</v>
      </c>
      <c r="G46" s="7" t="n">
        <f aca="false">IFERROR(__xludf.dummyfunction("""COMPUTED_VALUE"""),726)</f>
        <v>726</v>
      </c>
      <c r="L46" s="7" t="str">
        <f aca="false">IFERROR(__xludf.dummyfunction("""COMPUTED_VALUE"""),"Wind sp/dr, Air temp., Relative Humidity, solar radiation, UV, ground temp, rainfall, baro.")</f>
        <v>Wind sp/dr, Air temp., Relative Humidity, solar radiation, UV, ground temp, rainfall, baro.</v>
      </c>
    </row>
    <row r="47" customFormat="false" ht="14.25" hidden="false" customHeight="true" outlineLevel="0" collapsed="false">
      <c r="C47" s="7" t="str">
        <f aca="false">IFERROR(__xludf.dummyfunction("""COMPUTED_VALUE"""),"")</f>
        <v/>
      </c>
      <c r="D47" s="7" t="str">
        <f aca="false">IFERROR(__xludf.dummyfunction("""COMPUTED_VALUE"""),"E4.NB")</f>
        <v>E4.NB</v>
      </c>
      <c r="E47" s="7" t="n">
        <f aca="false">IFERROR(__xludf.dummyfunction("""COMPUTED_VALUE"""),-33.9837004462031)</f>
        <v>-33.98370045</v>
      </c>
      <c r="F47" s="7" t="n">
        <f aca="false">IFERROR(__xludf.dummyfunction("""COMPUTED_VALUE"""),18.4184130023502)</f>
        <v>18.418413</v>
      </c>
      <c r="G47" s="7" t="n">
        <f aca="false">IFERROR(__xludf.dummyfunction("""COMPUTED_VALUE"""),871)</f>
        <v>871</v>
      </c>
      <c r="L47" s="7" t="str">
        <f aca="false">IFERROR(__xludf.dummyfunction("""COMPUTED_VALUE"""),"Wind sp/dr, Air temp., Relative Humidity, solar radiation, UV, ground temp, rainfall, soil T, soil M, soil EC, baro.")</f>
        <v>Wind sp/dr, Air temp., Relative Humidity, solar radiation, UV, ground temp, rainfall, soil T, soil M, soil EC, baro.</v>
      </c>
    </row>
    <row r="48" customFormat="false" ht="14.25" hidden="false" customHeight="true" outlineLevel="0" collapsed="false">
      <c r="D48" s="30" t="str">
        <f aca="false">IFERROR(__xludf.dummyfunction("""COMPUTED_VALUE"""),"E5.CR")</f>
        <v>E5.CR</v>
      </c>
      <c r="E48" s="7" t="n">
        <f aca="false">IFERROR(__xludf.dummyfunction("""COMPUTED_VALUE"""),-33.9738379178488)</f>
        <v>-33.97383792</v>
      </c>
      <c r="F48" s="7" t="n">
        <f aca="false">IFERROR(__xludf.dummyfunction("""COMPUTED_VALUE"""),18.4218710821792)</f>
        <v>18.42187108</v>
      </c>
      <c r="G48" s="7" t="n">
        <f aca="false">IFERROR(__xludf.dummyfunction("""COMPUTED_VALUE"""),731)</f>
        <v>731</v>
      </c>
      <c r="L48" s="7" t="str">
        <f aca="false">IFERROR(__xludf.dummyfunction("""COMPUTED_VALUE"""),"Wind sp/dr, Air temp., Relative Humidity, solar radiation, rainfall.")</f>
        <v>Wind sp/dr, Air temp., Relative Humidity, solar radiation, rainfall.</v>
      </c>
    </row>
    <row r="49" customFormat="false" ht="14.25" hidden="false" customHeight="true" outlineLevel="0" collapsed="false">
      <c r="D49" s="30" t="str">
        <f aca="false">IFERROR(__xludf.dummyfunction("""COMPUTED_VALUE"""),"E6.AQ")</f>
        <v>E6.AQ</v>
      </c>
      <c r="E49" s="7" t="n">
        <f aca="false">IFERROR(__xludf.dummyfunction("""COMPUTED_VALUE"""),-33.9791925396103)</f>
        <v>-33.97919254</v>
      </c>
      <c r="F49" s="7" t="n">
        <f aca="false">IFERROR(__xludf.dummyfunction("""COMPUTED_VALUE"""),18.4166880121416)</f>
        <v>18.41668801</v>
      </c>
      <c r="G49" s="7" t="n">
        <f aca="false">IFERROR(__xludf.dummyfunction("""COMPUTED_VALUE"""),966)</f>
        <v>966</v>
      </c>
      <c r="L49" s="7" t="str">
        <f aca="false">IFERROR(__xludf.dummyfunction("""COMPUTED_VALUE"""),"Precipitation; temperature")</f>
        <v>Precipitation; temperature</v>
      </c>
    </row>
    <row r="50" customFormat="false" ht="14.25" hidden="false" customHeight="true" outlineLevel="0" collapsed="false">
      <c r="D50" s="30" t="str">
        <f aca="false">IFERROR(__xludf.dummyfunction("""COMPUTED_VALUE"""),"E8.SG")</f>
        <v>E8.SG</v>
      </c>
      <c r="E50" s="7" t="n">
        <f aca="false">IFERROR(__xludf.dummyfunction("""COMPUTED_VALUE"""),-33.9668514864824)</f>
        <v>-33.96685149</v>
      </c>
      <c r="F50" s="7" t="n">
        <f aca="false">IFERROR(__xludf.dummyfunction("""COMPUTED_VALUE"""),18.4115972167711)</f>
        <v>18.41159722</v>
      </c>
      <c r="G50" s="7" t="n">
        <f aca="false">IFERROR(__xludf.dummyfunction("""COMPUTED_VALUE"""),900)</f>
        <v>900</v>
      </c>
      <c r="L50" s="7" t="str">
        <f aca="false">IFERROR(__xludf.dummyfunction("""COMPUTED_VALUE"""),"Soil water, soil temperature and soil electrical conductivity at 10, 50 and 80cm depth")</f>
        <v>Soil water, soil temperature and soil electrical conductivity at 10, 50 and 80cm depth</v>
      </c>
    </row>
    <row r="51" customFormat="false" ht="14.25" hidden="false" customHeight="true" outlineLevel="0" collapsed="false">
      <c r="D51" s="7" t="str">
        <f aca="false">IFERROR(__xludf.dummyfunction("""COMPUTED_VALUE"""),"EV1")</f>
        <v>EV1</v>
      </c>
      <c r="E51" s="7" t="n">
        <f aca="false">IFERROR(__xludf.dummyfunction("""COMPUTED_VALUE"""),-33.9677990081256)</f>
        <v>-33.96779901</v>
      </c>
      <c r="F51" s="7" t="n">
        <f aca="false">IFERROR(__xludf.dummyfunction("""COMPUTED_VALUE"""),18.4112114209447)</f>
        <v>18.41121142</v>
      </c>
      <c r="G51" s="7" t="n">
        <f aca="false">IFERROR(__xludf.dummyfunction("""COMPUTED_VALUE"""),861)</f>
        <v>861</v>
      </c>
      <c r="L51" s="7" t="str">
        <f aca="false">IFERROR(__xludf.dummyfunction("""COMPUTED_VALUE"""),"")</f>
        <v/>
      </c>
    </row>
    <row r="52" customFormat="false" ht="14.25" hidden="false" customHeight="true" outlineLevel="0" collapsed="false">
      <c r="D52" s="7" t="str">
        <f aca="false">IFERROR(__xludf.dummyfunction("""COMPUTED_VALUE"""),"EV2")</f>
        <v>EV2</v>
      </c>
      <c r="E52" s="7" t="n">
        <f aca="false">IFERROR(__xludf.dummyfunction("""COMPUTED_VALUE"""),-33.9686311261565)</f>
        <v>-33.96863113</v>
      </c>
      <c r="F52" s="7" t="n">
        <f aca="false">IFERROR(__xludf.dummyfunction("""COMPUTED_VALUE"""),18.4104828606596)</f>
        <v>18.41048286</v>
      </c>
      <c r="G52" s="7" t="n">
        <f aca="false">IFERROR(__xludf.dummyfunction("""COMPUTED_VALUE"""),880)</f>
        <v>880</v>
      </c>
    </row>
    <row r="53" customFormat="false" ht="14.25" hidden="false" customHeight="true" outlineLevel="0" collapsed="false">
      <c r="D53" s="7" t="str">
        <f aca="false">IFERROR(__xludf.dummyfunction("""COMPUTED_VALUE"""),"EV3")</f>
        <v>EV3</v>
      </c>
      <c r="E53" s="7" t="n">
        <f aca="false">IFERROR(__xludf.dummyfunction("""COMPUTED_VALUE"""),-33.9692716563794)</f>
        <v>-33.96927166</v>
      </c>
      <c r="F53" s="7" t="n">
        <f aca="false">IFERROR(__xludf.dummyfunction("""COMPUTED_VALUE"""),18.4092190711626)</f>
        <v>18.40921907</v>
      </c>
      <c r="G53" s="7" t="n">
        <f aca="false">IFERROR(__xludf.dummyfunction("""COMPUTED_VALUE"""),903)</f>
        <v>903</v>
      </c>
    </row>
    <row r="54" customFormat="false" ht="14.25" hidden="false" customHeight="true" outlineLevel="0" collapsed="false">
      <c r="D54" s="7" t="str">
        <f aca="false">IFERROR(__xludf.dummyfunction("""COMPUTED_VALUE"""),"EV4")</f>
        <v>EV4</v>
      </c>
      <c r="E54" s="7" t="n">
        <f aca="false">IFERROR(__xludf.dummyfunction("""COMPUTED_VALUE"""),-33.9700520846779)</f>
        <v>-33.97005208</v>
      </c>
      <c r="F54" s="7" t="n">
        <f aca="false">IFERROR(__xludf.dummyfunction("""COMPUTED_VALUE"""),18.4090330792149)</f>
        <v>18.40903308</v>
      </c>
      <c r="G54" s="7" t="n">
        <f aca="false">IFERROR(__xludf.dummyfunction("""COMPUTED_VALUE"""),374)</f>
        <v>374</v>
      </c>
    </row>
    <row r="55" customFormat="false" ht="14.25" hidden="false" customHeight="true" outlineLevel="0" collapsed="false">
      <c r="D55" s="7" t="str">
        <f aca="false">IFERROR(__xludf.dummyfunction("""COMPUTED_VALUE"""),"EV5")</f>
        <v>EV5</v>
      </c>
      <c r="E55" s="7" t="n">
        <f aca="false">IFERROR(__xludf.dummyfunction("""COMPUTED_VALUE"""),-34.1166556037755)</f>
        <v>-34.1166556</v>
      </c>
      <c r="F55" s="7" t="n">
        <f aca="false">IFERROR(__xludf.dummyfunction("""COMPUTED_VALUE"""),18.4431993331123)</f>
        <v>18.44319933</v>
      </c>
      <c r="G55" s="7" t="n">
        <f aca="false">IFERROR(__xludf.dummyfunction("""COMPUTED_VALUE"""),371)</f>
        <v>371</v>
      </c>
    </row>
    <row r="56" customFormat="false" ht="14.25" hidden="false" customHeight="true" outlineLevel="0" collapsed="false">
      <c r="D56" s="7" t="str">
        <f aca="false">IFERROR(__xludf.dummyfunction("""COMPUTED_VALUE"""),"KB2")</f>
        <v>KB2</v>
      </c>
      <c r="E56" s="7" t="n">
        <f aca="false">IFERROR(__xludf.dummyfunction("""COMPUTED_VALUE"""),-34.1160823798854)</f>
        <v>-34.11608238</v>
      </c>
      <c r="F56" s="7" t="n">
        <f aca="false">IFERROR(__xludf.dummyfunction("""COMPUTED_VALUE"""),18.4438127594891)</f>
        <v>18.44381276</v>
      </c>
      <c r="G56" s="7" t="n">
        <f aca="false">IFERROR(__xludf.dummyfunction("""COMPUTED_VALUE"""),493)</f>
        <v>493</v>
      </c>
    </row>
    <row r="57" customFormat="false" ht="14.25" hidden="false" customHeight="true" outlineLevel="0" collapsed="false">
      <c r="D57" s="7" t="str">
        <f aca="false">IFERROR(__xludf.dummyfunction("""COMPUTED_VALUE"""),"KB3")</f>
        <v>KB3</v>
      </c>
      <c r="E57" s="7" t="n">
        <f aca="false">IFERROR(__xludf.dummyfunction("""COMPUTED_VALUE"""),-34.1135581122481)</f>
        <v>-34.11355811</v>
      </c>
      <c r="F57" s="7" t="n">
        <f aca="false">IFERROR(__xludf.dummyfunction("""COMPUTED_VALUE"""),18.439921661538)</f>
        <v>18.43992166</v>
      </c>
      <c r="G57" s="7" t="n">
        <f aca="false">IFERROR(__xludf.dummyfunction("""COMPUTED_VALUE"""),232)</f>
        <v>232</v>
      </c>
    </row>
    <row r="58" customFormat="false" ht="14.25" hidden="false" customHeight="true" outlineLevel="0" collapsed="false">
      <c r="D58" s="7" t="str">
        <f aca="false">IFERROR(__xludf.dummyfunction("""COMPUTED_VALUE"""),"KB4")</f>
        <v>KB4</v>
      </c>
      <c r="E58" s="7" t="n">
        <f aca="false">IFERROR(__xludf.dummyfunction("""COMPUTED_VALUE"""),-34.1067426102385)</f>
        <v>-34.10674261</v>
      </c>
      <c r="F58" s="7" t="n">
        <f aca="false">IFERROR(__xludf.dummyfunction("""COMPUTED_VALUE"""),18.4607630188234)</f>
        <v>18.46076302</v>
      </c>
      <c r="G58" s="7" t="n">
        <f aca="false">IFERROR(__xludf.dummyfunction("""COMPUTED_VALUE"""),380)</f>
        <v>380</v>
      </c>
    </row>
    <row r="59" customFormat="false" ht="14.25" hidden="false" customHeight="true" outlineLevel="0" collapsed="false">
      <c r="D59" s="7" t="str">
        <f aca="false">IFERROR(__xludf.dummyfunction("""COMPUTED_VALUE"""),"MP1")</f>
        <v>MP1</v>
      </c>
      <c r="E59" s="7" t="n">
        <f aca="false">IFERROR(__xludf.dummyfunction("""COMPUTED_VALUE"""),-34.1039372248681)</f>
        <v>-34.10393722</v>
      </c>
      <c r="F59" s="7" t="n">
        <f aca="false">IFERROR(__xludf.dummyfunction("""COMPUTED_VALUE"""),18.455026951087)</f>
        <v>18.45502695</v>
      </c>
      <c r="G59" s="7" t="n">
        <f aca="false">IFERROR(__xludf.dummyfunction("""COMPUTED_VALUE"""),484)</f>
        <v>484</v>
      </c>
    </row>
    <row r="60" customFormat="false" ht="14.25" hidden="false" customHeight="true" outlineLevel="0" collapsed="false">
      <c r="D60" s="7" t="str">
        <f aca="false">IFERROR(__xludf.dummyfunction("""COMPUTED_VALUE"""),"MP2")</f>
        <v>MP2</v>
      </c>
      <c r="E60" s="7" t="n">
        <f aca="false">IFERROR(__xludf.dummyfunction("""COMPUTED_VALUE"""),-34.1024153610598)</f>
        <v>-34.10241536</v>
      </c>
      <c r="F60" s="7" t="n">
        <f aca="false">IFERROR(__xludf.dummyfunction("""COMPUTED_VALUE"""),18.4590282888241)</f>
        <v>18.45902829</v>
      </c>
      <c r="G60" s="7" t="n">
        <f aca="false">IFERROR(__xludf.dummyfunction("""COMPUTED_VALUE"""),722)</f>
        <v>722</v>
      </c>
    </row>
    <row r="61" customFormat="false" ht="14.25" hidden="false" customHeight="true" outlineLevel="0" collapsed="false">
      <c r="D61" s="7" t="str">
        <f aca="false">IFERROR(__xludf.dummyfunction("""COMPUTED_VALUE"""),"MP3")</f>
        <v>MP3</v>
      </c>
      <c r="E61" s="7" t="n">
        <f aca="false">IFERROR(__xludf.dummyfunction("""COMPUTED_VALUE"""),-34.1022012859549)</f>
        <v>-34.10220129</v>
      </c>
      <c r="F61" s="7" t="n">
        <f aca="false">IFERROR(__xludf.dummyfunction("""COMPUTED_VALUE"""),18.4487064388253)</f>
        <v>18.44870644</v>
      </c>
      <c r="G61" s="7" t="n">
        <f aca="false">IFERROR(__xludf.dummyfunction("""COMPUTED_VALUE"""),706)</f>
        <v>706</v>
      </c>
    </row>
    <row r="62" customFormat="false" ht="14.25" hidden="false" customHeight="true" outlineLevel="0" collapsed="false">
      <c r="D62" s="7" t="str">
        <f aca="false">IFERROR(__xludf.dummyfunction("""COMPUTED_VALUE"""),"MP4")</f>
        <v>MP4</v>
      </c>
      <c r="E62" s="7" t="n">
        <f aca="false">IFERROR(__xludf.dummyfunction("""COMPUTED_VALUE"""),-34.0823867469428)</f>
        <v>-34.08238675</v>
      </c>
      <c r="F62" s="7" t="n">
        <f aca="false">IFERROR(__xludf.dummyfunction("""COMPUTED_VALUE"""),18.3980733646185)</f>
        <v>18.39807336</v>
      </c>
      <c r="G62" s="7" t="n">
        <f aca="false">IFERROR(__xludf.dummyfunction("""COMPUTED_VALUE"""),656)</f>
        <v>656</v>
      </c>
    </row>
    <row r="63" customFormat="false" ht="14.25" hidden="false" customHeight="true" outlineLevel="0" collapsed="false">
      <c r="D63" s="7" t="str">
        <f aca="false">IFERROR(__xludf.dummyfunction("""COMPUTED_VALUE"""),"NDP2")</f>
        <v>NDP2</v>
      </c>
      <c r="E63" s="7" t="n">
        <f aca="false">IFERROR(__xludf.dummyfunction("""COMPUTED_VALUE"""),-34.0723014306689)</f>
        <v>-34.07230143</v>
      </c>
      <c r="F63" s="7" t="n">
        <f aca="false">IFERROR(__xludf.dummyfunction("""COMPUTED_VALUE"""),18.3837782623424)</f>
        <v>18.38377826</v>
      </c>
      <c r="G63" s="7" t="n">
        <f aca="false">IFERROR(__xludf.dummyfunction("""COMPUTED_VALUE"""),650)</f>
        <v>650</v>
      </c>
    </row>
    <row r="64" customFormat="false" ht="14.25" hidden="false" customHeight="true" outlineLevel="0" collapsed="false">
      <c r="D64" s="7" t="str">
        <f aca="false">IFERROR(__xludf.dummyfunction("""COMPUTED_VALUE"""),"NDP6")</f>
        <v>NDP6</v>
      </c>
      <c r="E64" s="7" t="n">
        <f aca="false">IFERROR(__xludf.dummyfunction("""COMPUTED_VALUE"""),-34.0700734083464)</f>
        <v>-34.07007341</v>
      </c>
      <c r="F64" s="7" t="n">
        <f aca="false">IFERROR(__xludf.dummyfunction("""COMPUTED_VALUE"""),18.3811818089605)</f>
        <v>18.38118181</v>
      </c>
      <c r="G64" s="7" t="n">
        <f aca="false">IFERROR(__xludf.dummyfunction("""COMPUTED_VALUE"""),576)</f>
        <v>576</v>
      </c>
    </row>
    <row r="65" customFormat="false" ht="14.25" hidden="false" customHeight="true" outlineLevel="0" collapsed="false">
      <c r="D65" s="7" t="str">
        <f aca="false">IFERROR(__xludf.dummyfunction("""COMPUTED_VALUE"""),"NDP7")</f>
        <v>NDP7</v>
      </c>
      <c r="E65" s="7" t="n">
        <f aca="false">IFERROR(__xludf.dummyfunction("""COMPUTED_VALUE"""),-34.0685649948152)</f>
        <v>-34.06856499</v>
      </c>
      <c r="F65" s="7" t="n">
        <f aca="false">IFERROR(__xludf.dummyfunction("""COMPUTED_VALUE"""),18.3857023223869)</f>
        <v>18.38570232</v>
      </c>
      <c r="G65" s="7" t="n">
        <f aca="false">IFERROR(__xludf.dummyfunction("""COMPUTED_VALUE"""),614)</f>
        <v>614</v>
      </c>
    </row>
    <row r="66" customFormat="false" ht="14.25" hidden="false" customHeight="true" outlineLevel="0" collapsed="false">
      <c r="D66" s="7" t="str">
        <f aca="false">IFERROR(__xludf.dummyfunction("""COMPUTED_VALUE"""),"NDP8")</f>
        <v>NDP8</v>
      </c>
      <c r="E66" s="7" t="n">
        <f aca="false">IFERROR(__xludf.dummyfunction("""COMPUTED_VALUE"""),-34.0659985098189)</f>
        <v>-34.06599851</v>
      </c>
      <c r="F66" s="7" t="n">
        <f aca="false">IFERROR(__xludf.dummyfunction("""COMPUTED_VALUE"""),18.3849904068563)</f>
        <v>18.38499041</v>
      </c>
      <c r="G66" s="7" t="n">
        <f aca="false">IFERROR(__xludf.dummyfunction("""COMPUTED_VALUE"""),659)</f>
        <v>659</v>
      </c>
    </row>
    <row r="67" customFormat="false" ht="14.25" hidden="false" customHeight="true" outlineLevel="0" collapsed="false">
      <c r="D67" s="7" t="str">
        <f aca="false">IFERROR(__xludf.dummyfunction("""COMPUTED_VALUE"""),"NDP9")</f>
        <v>NDP9</v>
      </c>
      <c r="E67" s="7" t="n">
        <f aca="false">IFERROR(__xludf.dummyfunction("""COMPUTED_VALUE"""),-34.0659453221425)</f>
        <v>-34.06594532</v>
      </c>
      <c r="F67" s="7" t="n">
        <f aca="false">IFERROR(__xludf.dummyfunction("""COMPUTED_VALUE"""),18.3918166943469)</f>
        <v>18.39181669</v>
      </c>
      <c r="G67" s="7" t="n">
        <f aca="false">IFERROR(__xludf.dummyfunction("""COMPUTED_VALUE"""),266)</f>
        <v>266</v>
      </c>
    </row>
    <row r="68" customFormat="false" ht="14.25" hidden="false" customHeight="true" outlineLevel="0" collapsed="false">
      <c r="D68" s="7" t="str">
        <f aca="false">IFERROR(__xludf.dummyfunction("""COMPUTED_VALUE"""),"PSK1")</f>
        <v>PSK1</v>
      </c>
      <c r="E68" s="7" t="n">
        <f aca="false">IFERROR(__xludf.dummyfunction("""COMPUTED_VALUE"""),-34.0603744111804)</f>
        <v>-34.06037441</v>
      </c>
      <c r="F68" s="7" t="n">
        <f aca="false">IFERROR(__xludf.dummyfunction("""COMPUTED_VALUE"""),18.3833651514247)</f>
        <v>18.38336515</v>
      </c>
      <c r="G68" s="7" t="n">
        <f aca="false">IFERROR(__xludf.dummyfunction("""COMPUTED_VALUE"""),306)</f>
        <v>306</v>
      </c>
    </row>
    <row r="69" customFormat="false" ht="14.25" hidden="false" customHeight="true" outlineLevel="0" collapsed="false">
      <c r="D69" s="7" t="str">
        <f aca="false">IFERROR(__xludf.dummyfunction("""COMPUTED_VALUE"""),"PSK5")</f>
        <v>PSK5</v>
      </c>
      <c r="E69" s="7" t="n">
        <f aca="false">IFERROR(__xludf.dummyfunction("""COMPUTED_VALUE"""),-34.0589863016355)</f>
        <v>-34.0589863</v>
      </c>
      <c r="F69" s="7" t="n">
        <f aca="false">IFERROR(__xludf.dummyfunction("""COMPUTED_VALUE"""),18.3825304573058)</f>
        <v>18.38253046</v>
      </c>
      <c r="G69" s="7" t="n">
        <f aca="false">IFERROR(__xludf.dummyfunction("""COMPUTED_VALUE"""),358)</f>
        <v>358</v>
      </c>
    </row>
    <row r="70" customFormat="false" ht="14.25" hidden="false" customHeight="true" outlineLevel="0" collapsed="false">
      <c r="D70" s="7" t="str">
        <f aca="false">IFERROR(__xludf.dummyfunction("""COMPUTED_VALUE"""),"PSK6")</f>
        <v>PSK6</v>
      </c>
      <c r="E70" s="7" t="n">
        <f aca="false">IFERROR(__xludf.dummyfunction("""COMPUTED_VALUE"""),-34.1004827520535)</f>
        <v>-34.10048275</v>
      </c>
      <c r="F70" s="7" t="n">
        <f aca="false">IFERROR(__xludf.dummyfunction("""COMPUTED_VALUE"""),18.4307138480326)</f>
        <v>18.43071385</v>
      </c>
      <c r="G70" s="7" t="n">
        <f aca="false">IFERROR(__xludf.dummyfunction("""COMPUTED_VALUE"""),308)</f>
        <v>308</v>
      </c>
    </row>
    <row r="71" customFormat="false" ht="14.25" hidden="false" customHeight="true" outlineLevel="0" collapsed="false">
      <c r="D71" s="7" t="str">
        <f aca="false">IFERROR(__xludf.dummyfunction("""COMPUTED_VALUE"""),"SME03")</f>
        <v>SME03</v>
      </c>
      <c r="E71" s="7" t="n">
        <f aca="false">IFERROR(__xludf.dummyfunction("""COMPUTED_VALUE"""),-34.1021000174801)</f>
        <v>-34.10210002</v>
      </c>
      <c r="F71" s="7" t="n">
        <f aca="false">IFERROR(__xludf.dummyfunction("""COMPUTED_VALUE"""),18.4308816874141)</f>
        <v>18.43088169</v>
      </c>
      <c r="G71" s="7" t="n">
        <f aca="false">IFERROR(__xludf.dummyfunction("""COMPUTED_VALUE"""),277)</f>
        <v>277</v>
      </c>
    </row>
    <row r="72" customFormat="false" ht="14.25" hidden="false" customHeight="true" outlineLevel="0" collapsed="false">
      <c r="D72" s="7" t="str">
        <f aca="false">IFERROR(__xludf.dummyfunction("""COMPUTED_VALUE"""),"SME04")</f>
        <v>SME04</v>
      </c>
      <c r="E72" s="7" t="n">
        <f aca="false">IFERROR(__xludf.dummyfunction("""COMPUTED_VALUE"""),-34.1027857699031)</f>
        <v>-34.10278577</v>
      </c>
      <c r="F72" s="7" t="n">
        <f aca="false">IFERROR(__xludf.dummyfunction("""COMPUTED_VALUE"""),18.4317713091)</f>
        <v>18.43177131</v>
      </c>
      <c r="G72" s="7" t="n">
        <f aca="false">IFERROR(__xludf.dummyfunction("""COMPUTED_VALUE"""),101)</f>
        <v>101</v>
      </c>
    </row>
    <row r="73" customFormat="false" ht="14.25" hidden="false" customHeight="true" outlineLevel="0" collapsed="false">
      <c r="D73" s="7" t="str">
        <f aca="false">IFERROR(__xludf.dummyfunction("""COMPUTED_VALUE"""),"SME05")</f>
        <v>SME05</v>
      </c>
      <c r="E73" s="7" t="n">
        <f aca="false">IFERROR(__xludf.dummyfunction("""COMPUTED_VALUE"""),-34.1039111308367)</f>
        <v>-34.10391113</v>
      </c>
      <c r="F73" s="7" t="n">
        <f aca="false">IFERROR(__xludf.dummyfunction("""COMPUTED_VALUE"""),18.4304042405895)</f>
        <v>18.43040424</v>
      </c>
      <c r="G73" s="7" t="n">
        <f aca="false">IFERROR(__xludf.dummyfunction("""COMPUTED_VALUE"""),88)</f>
        <v>88</v>
      </c>
    </row>
    <row r="74" customFormat="false" ht="14.25" hidden="false" customHeight="true" outlineLevel="0" collapsed="false">
      <c r="D74" s="7" t="str">
        <f aca="false">IFERROR(__xludf.dummyfunction("""COMPUTED_VALUE"""),"SME06")</f>
        <v>SME06</v>
      </c>
      <c r="E74" s="7" t="n">
        <f aca="false">IFERROR(__xludf.dummyfunction("""COMPUTED_VALUE"""),-34.1063714505118)</f>
        <v>-34.10637145</v>
      </c>
      <c r="F74" s="7" t="n">
        <f aca="false">IFERROR(__xludf.dummyfunction("""COMPUTED_VALUE"""),18.4303623266709)</f>
        <v>18.43036233</v>
      </c>
      <c r="G74" s="7" t="n">
        <f aca="false">IFERROR(__xludf.dummyfunction("""COMPUTED_VALUE"""),107)</f>
        <v>107</v>
      </c>
    </row>
    <row r="75" customFormat="false" ht="14.25" hidden="false" customHeight="true" outlineLevel="0" collapsed="false">
      <c r="D75" s="7" t="str">
        <f aca="false">IFERROR(__xludf.dummyfunction("""COMPUTED_VALUE"""),"SME07")</f>
        <v>SME07</v>
      </c>
      <c r="E75" s="7" t="n">
        <f aca="false">IFERROR(__xludf.dummyfunction("""COMPUTED_VALUE"""),-34.1036271531702)</f>
        <v>-34.10362715</v>
      </c>
      <c r="F75" s="7" t="n">
        <f aca="false">IFERROR(__xludf.dummyfunction("""COMPUTED_VALUE"""),18.4100271225045)</f>
        <v>18.41002712</v>
      </c>
      <c r="G75" s="7" t="n">
        <f aca="false">IFERROR(__xludf.dummyfunction("""COMPUTED_VALUE"""),448)</f>
        <v>448</v>
      </c>
    </row>
    <row r="76" customFormat="false" ht="14.25" hidden="false" customHeight="true" outlineLevel="0" collapsed="false">
      <c r="D76" s="7" t="str">
        <f aca="false">IFERROR(__xludf.dummyfunction("""COMPUTED_VALUE"""),"SME16")</f>
        <v>SME16</v>
      </c>
      <c r="E76" s="7" t="n">
        <f aca="false">IFERROR(__xludf.dummyfunction("""COMPUTED_VALUE"""),-34.1047594399169)</f>
        <v>-34.10475944</v>
      </c>
      <c r="F76" s="7" t="n">
        <f aca="false">IFERROR(__xludf.dummyfunction("""COMPUTED_VALUE"""),18.4115640814322)</f>
        <v>18.41156408</v>
      </c>
      <c r="G76" s="7" t="n">
        <f aca="false">IFERROR(__xludf.dummyfunction("""COMPUTED_VALUE"""),507)</f>
        <v>507</v>
      </c>
    </row>
    <row r="77" customFormat="false" ht="14.25" hidden="false" customHeight="true" outlineLevel="0" collapsed="false">
      <c r="D77" s="7" t="str">
        <f aca="false">IFERROR(__xludf.dummyfunction("""COMPUTED_VALUE"""),"SME17")</f>
        <v>SME17</v>
      </c>
      <c r="E77" s="7" t="n">
        <f aca="false">IFERROR(__xludf.dummyfunction("""COMPUTED_VALUE"""),-34.1061746568708)</f>
        <v>-34.10617466</v>
      </c>
      <c r="F77" s="7" t="n">
        <f aca="false">IFERROR(__xludf.dummyfunction("""COMPUTED_VALUE"""),18.4132658721809)</f>
        <v>18.41326587</v>
      </c>
      <c r="G77" s="7" t="n">
        <f aca="false">IFERROR(__xludf.dummyfunction("""COMPUTED_VALUE"""),610)</f>
        <v>610</v>
      </c>
    </row>
    <row r="78" customFormat="false" ht="14.25" hidden="false" customHeight="true" outlineLevel="0" collapsed="false">
      <c r="D78" s="7" t="str">
        <f aca="false">IFERROR(__xludf.dummyfunction("""COMPUTED_VALUE"""),"SME18")</f>
        <v>SME18</v>
      </c>
      <c r="E78" s="7" t="n">
        <f aca="false">IFERROR(__xludf.dummyfunction("""COMPUTED_VALUE"""),-33.977800572679)</f>
        <v>-33.97780057</v>
      </c>
      <c r="F78" s="7" t="n">
        <f aca="false">IFERROR(__xludf.dummyfunction("""COMPUTED_VALUE"""),18.3832589517883)</f>
        <v>18.38325895</v>
      </c>
      <c r="G78" s="7" t="n">
        <f aca="false">IFERROR(__xludf.dummyfunction("""COMPUTED_VALUE"""),607)</f>
        <v>607</v>
      </c>
    </row>
    <row r="79" customFormat="false" ht="14.25" hidden="false" customHeight="true" outlineLevel="0" collapsed="false">
      <c r="D79" s="7" t="str">
        <f aca="false">IFERROR(__xludf.dummyfunction("""COMPUTED_VALUE"""),"TA01")</f>
        <v>TA01</v>
      </c>
      <c r="E79" s="7" t="n">
        <f aca="false">IFERROR(__xludf.dummyfunction("""COMPUTED_VALUE"""),-33.9805621096033)</f>
        <v>-33.98056211</v>
      </c>
      <c r="F79" s="7" t="n">
        <f aca="false">IFERROR(__xludf.dummyfunction("""COMPUTED_VALUE"""),18.3795814139612)</f>
        <v>18.37958141</v>
      </c>
      <c r="G79" s="7" t="n">
        <f aca="false">IFERROR(__xludf.dummyfunction("""COMPUTED_VALUE"""),677)</f>
        <v>677</v>
      </c>
    </row>
    <row r="80" customFormat="false" ht="14.25" hidden="false" customHeight="true" outlineLevel="0" collapsed="false">
      <c r="D80" s="7" t="str">
        <f aca="false">IFERROR(__xludf.dummyfunction("""COMPUTED_VALUE"""),"TA02")</f>
        <v>TA02</v>
      </c>
      <c r="E80" s="7" t="n">
        <f aca="false">IFERROR(__xludf.dummyfunction("""COMPUTED_VALUE"""),-33.9819852549474)</f>
        <v>-33.98198525</v>
      </c>
      <c r="F80" s="7" t="n">
        <f aca="false">IFERROR(__xludf.dummyfunction("""COMPUTED_VALUE"""),18.3816371943635)</f>
        <v>18.38163719</v>
      </c>
      <c r="G80" s="7" t="n">
        <f aca="false">IFERROR(__xludf.dummyfunction("""COMPUTED_VALUE"""),808)</f>
        <v>808</v>
      </c>
    </row>
    <row r="81" customFormat="false" ht="14.25" hidden="false" customHeight="true" outlineLevel="0" collapsed="false">
      <c r="D81" s="7" t="str">
        <f aca="false">IFERROR(__xludf.dummyfunction("""COMPUTED_VALUE"""),"TA03")</f>
        <v>TA03</v>
      </c>
      <c r="E81" s="7" t="n">
        <f aca="false">IFERROR(__xludf.dummyfunction("""COMPUTED_VALUE"""),-33.9823516505944)</f>
        <v>-33.98235165</v>
      </c>
      <c r="F81" s="7" t="n">
        <f aca="false">IFERROR(__xludf.dummyfunction("""COMPUTED_VALUE"""),18.3814852646831)</f>
        <v>18.38148526</v>
      </c>
      <c r="G81" s="7" t="n">
        <f aca="false">IFERROR(__xludf.dummyfunction("""COMPUTED_VALUE"""),1059)</f>
        <v>1059</v>
      </c>
    </row>
    <row r="82" customFormat="false" ht="14.25" hidden="false" customHeight="true" outlineLevel="0" collapsed="false">
      <c r="D82" s="7" t="str">
        <f aca="false">IFERROR(__xludf.dummyfunction("""COMPUTED_VALUE"""),"TA04")</f>
        <v>TA04</v>
      </c>
      <c r="E82" s="7" t="n">
        <f aca="false">IFERROR(__xludf.dummyfunction("""COMPUTED_VALUE"""),-33.9798686230615)</f>
        <v>-33.97986862</v>
      </c>
      <c r="F82" s="7" t="n">
        <f aca="false">IFERROR(__xludf.dummyfunction("""COMPUTED_VALUE"""),18.3876649515047)</f>
        <v>18.38766495</v>
      </c>
      <c r="G82" s="7" t="n">
        <f aca="false">IFERROR(__xludf.dummyfunction("""COMPUTED_VALUE"""),190)</f>
        <v>190</v>
      </c>
    </row>
    <row r="83" customFormat="false" ht="14.25" hidden="false" customHeight="true" outlineLevel="0" collapsed="false">
      <c r="D83" s="7" t="str">
        <f aca="false">IFERROR(__xludf.dummyfunction("""COMPUTED_VALUE"""),"TA12")</f>
        <v>TA12</v>
      </c>
      <c r="E83" s="7" t="n">
        <f aca="false">IFERROR(__xludf.dummyfunction("""COMPUTED_VALUE"""),-33.9692658331072)</f>
        <v>-33.96926583</v>
      </c>
      <c r="F83" s="7" t="n">
        <f aca="false">IFERROR(__xludf.dummyfunction("""COMPUTED_VALUE"""),18.3974140594343)</f>
        <v>18.39741406</v>
      </c>
      <c r="G83" s="7" t="n">
        <f aca="false">IFERROR(__xludf.dummyfunction("""COMPUTED_VALUE"""),286)</f>
        <v>286</v>
      </c>
    </row>
    <row r="84" customFormat="false" ht="14.25" hidden="false" customHeight="true" outlineLevel="0" collapsed="false">
      <c r="D84" s="7" t="str">
        <f aca="false">IFERROR(__xludf.dummyfunction("""COMPUTED_VALUE"""),"TA13")</f>
        <v>TA13</v>
      </c>
      <c r="E84" s="7" t="n">
        <f aca="false">IFERROR(__xludf.dummyfunction("""COMPUTED_VALUE"""),-33.959332525451)</f>
        <v>-33.95933253</v>
      </c>
      <c r="F84" s="7" t="n">
        <f aca="false">IFERROR(__xludf.dummyfunction("""COMPUTED_VALUE"""),18.4047492983694)</f>
        <v>18.4047493</v>
      </c>
      <c r="G84" s="7" t="n">
        <f aca="false">IFERROR(__xludf.dummyfunction("""COMPUTED_VALUE"""),412)</f>
        <v>412</v>
      </c>
    </row>
    <row r="85" customFormat="false" ht="14.25" hidden="false" customHeight="true" outlineLevel="0" collapsed="false">
      <c r="D85" s="7" t="str">
        <f aca="false">IFERROR(__xludf.dummyfunction("""COMPUTED_VALUE"""),"TB.CWU")</f>
        <v>TB.CWU</v>
      </c>
      <c r="E85" s="7" t="n">
        <f aca="false">IFERROR(__xludf.dummyfunction("""COMPUTED_VALUE"""),-33.9639821706459)</f>
        <v>-33.96398217</v>
      </c>
      <c r="F85" s="7" t="n">
        <f aca="false">IFERROR(__xludf.dummyfunction("""COMPUTED_VALUE"""),18.3846346080531)</f>
        <v>18.38463461</v>
      </c>
      <c r="G85" s="7" t="n">
        <f aca="false">IFERROR(__xludf.dummyfunction("""COMPUTED_VALUE"""),394)</f>
        <v>394</v>
      </c>
    </row>
    <row r="86" customFormat="false" ht="14.25" hidden="false" customHeight="true" outlineLevel="0" collapsed="false">
      <c r="D86" s="7" t="str">
        <f aca="false">IFERROR(__xludf.dummyfunction("""COMPUTED_VALUE"""),"W2.CB1")</f>
        <v>W2.CB1</v>
      </c>
      <c r="E86" s="7" t="n">
        <f aca="false">IFERROR(__xludf.dummyfunction("""COMPUTED_VALUE"""),-33.9650631607875)</f>
        <v>-33.96506316</v>
      </c>
      <c r="F86" s="7" t="n">
        <f aca="false">IFERROR(__xludf.dummyfunction("""COMPUTED_VALUE"""),18.3879881384313)</f>
        <v>18.38798814</v>
      </c>
      <c r="G86" s="7" t="n">
        <f aca="false">IFERROR(__xludf.dummyfunction("""COMPUTED_VALUE"""),523)</f>
        <v>523</v>
      </c>
    </row>
    <row r="87" customFormat="false" ht="14.25" hidden="false" customHeight="true" outlineLevel="0" collapsed="false">
      <c r="D87" s="7" t="str">
        <f aca="false">IFERROR(__xludf.dummyfunction("""COMPUTED_VALUE"""),"W3.CB2")</f>
        <v>W3.CB2</v>
      </c>
      <c r="E87" s="7" t="n">
        <f aca="false">IFERROR(__xludf.dummyfunction("""COMPUTED_VALUE"""),-33.9636375230115)</f>
        <v>-33.96363752</v>
      </c>
      <c r="F87" s="7" t="n">
        <f aca="false">IFERROR(__xludf.dummyfunction("""COMPUTED_VALUE"""),18.3943072103488)</f>
        <v>18.39430721</v>
      </c>
      <c r="G87" s="7" t="n">
        <f aca="false">IFERROR(__xludf.dummyfunction("""COMPUTED_VALUE"""),921)</f>
        <v>921</v>
      </c>
    </row>
    <row r="88" customFormat="false" ht="14.25" hidden="false" customHeight="true" outlineLevel="0" collapsed="false">
      <c r="D88" s="7" t="str">
        <f aca="false">IFERROR(__xludf.dummyfunction("""COMPUTED_VALUE"""),"W3.CB4")</f>
        <v>W3.CB4</v>
      </c>
      <c r="E88" s="7" t="n">
        <f aca="false">IFERROR(__xludf.dummyfunction("""COMPUTED_VALUE"""),-33.9654663756713)</f>
        <v>-33.96546638</v>
      </c>
      <c r="F88" s="7" t="n">
        <f aca="false">IFERROR(__xludf.dummyfunction("""COMPUTED_VALUE"""),18.3921198626619)</f>
        <v>18.39211986</v>
      </c>
      <c r="G88" s="7" t="n">
        <f aca="false">IFERROR(__xludf.dummyfunction("""COMPUTED_VALUE"""),986.8)</f>
        <v>986.8</v>
      </c>
    </row>
    <row r="89" customFormat="false" ht="14.25" hidden="false" customHeight="true" outlineLevel="0" collapsed="false">
      <c r="D89" s="7" t="str">
        <f aca="false">IFERROR(__xludf.dummyfunction("""COMPUTED_VALUE"""),"W4.P400v")</f>
        <v>W4.P400v</v>
      </c>
      <c r="E89" s="7" t="n">
        <f aca="false">IFERROR(__xludf.dummyfunction("""COMPUTED_VALUE"""),-33.9658583903002)</f>
        <v>-33.96585839</v>
      </c>
      <c r="F89" s="7" t="n">
        <f aca="false">IFERROR(__xludf.dummyfunction("""COMPUTED_VALUE"""),18.3936010575632)</f>
        <v>18.39360106</v>
      </c>
      <c r="G89" s="7" t="n">
        <f aca="false">IFERROR(__xludf.dummyfunction("""COMPUTED_VALUE"""),785.2)</f>
        <v>785.2</v>
      </c>
    </row>
    <row r="90" customFormat="false" ht="14.25" hidden="false" customHeight="true" outlineLevel="0" collapsed="false">
      <c r="D90" s="7" t="str">
        <f aca="false">IFERROR(__xludf.dummyfunction("""COMPUTED_VALUE"""),"W5.P550")</f>
        <v>W5.P550</v>
      </c>
      <c r="E90" s="7" t="n">
        <f aca="false">IFERROR(__xludf.dummyfunction("""COMPUTED_VALUE"""),-33.9663238263021)</f>
        <v>-33.96632383</v>
      </c>
      <c r="F90" s="7" t="n">
        <f aca="false">IFERROR(__xludf.dummyfunction("""COMPUTED_VALUE"""),18.3964217219909)</f>
        <v>18.39642172</v>
      </c>
      <c r="G90" s="7" t="n">
        <f aca="false">IFERROR(__xludf.dummyfunction("""COMPUTED_VALUE"""),843.4)</f>
        <v>843.4</v>
      </c>
    </row>
    <row r="91" customFormat="false" ht="14.25" hidden="false" customHeight="true" outlineLevel="0" collapsed="false">
      <c r="D91" s="7" t="str">
        <f aca="false">IFERROR(__xludf.dummyfunction("""COMPUTED_VALUE"""),"W6.P700")</f>
        <v>W6.P700</v>
      </c>
      <c r="E91" s="7" t="n">
        <f aca="false">IFERROR(__xludf.dummyfunction("""COMPUTED_VALUE"""),-33.9668488790204)</f>
        <v>-33.96684888</v>
      </c>
      <c r="F91" s="7" t="n">
        <f aca="false">IFERROR(__xludf.dummyfunction("""COMPUTED_VALUE"""),18.3999330965154)</f>
        <v>18.3999331</v>
      </c>
      <c r="G91" s="7" t="n">
        <f aca="false">IFERROR(__xludf.dummyfunction("""COMPUTED_VALUE"""),983.3)</f>
        <v>983.3</v>
      </c>
    </row>
    <row r="92" customFormat="false" ht="14.25" hidden="false" customHeight="true" outlineLevel="0" collapsed="false">
      <c r="D92" s="7" t="str">
        <f aca="false">IFERROR(__xludf.dummyfunction("""COMPUTED_VALUE"""),"W7.BLK")</f>
        <v>W7.BLK</v>
      </c>
      <c r="E92" s="7" t="n">
        <f aca="false">IFERROR(__xludf.dummyfunction("""COMPUTED_VALUE"""),-34.6663062)</f>
        <v>-34.6663062</v>
      </c>
      <c r="F92" s="7" t="n">
        <f aca="false">IFERROR(__xludf.dummyfunction("""COMPUTED_VALUE"""),19.834586)</f>
        <v>19.834586</v>
      </c>
      <c r="G92" s="7" t="n">
        <f aca="false">IFERROR(__xludf.dummyfunction("""COMPUTED_VALUE"""),621.9)</f>
        <v>621.9</v>
      </c>
    </row>
    <row r="93" customFormat="false" ht="14.25" hidden="false" customHeight="true" outlineLevel="0" collapsed="false">
      <c r="D93" s="7" t="str">
        <f aca="false">IFERROR(__xludf.dummyfunction("""COMPUTED_VALUE"""),"Waskraalvlei")</f>
        <v>Waskraalvlei</v>
      </c>
      <c r="E93" s="7" t="n">
        <f aca="false">IFERROR(__xludf.dummyfunction("""COMPUTED_VALUE"""),-34.61586)</f>
        <v>-34.61586</v>
      </c>
      <c r="F93" s="7" t="n">
        <f aca="false">IFERROR(__xludf.dummyfunction("""COMPUTED_VALUE"""),19.89171)</f>
        <v>19.89171</v>
      </c>
      <c r="G93" s="7" t="n">
        <f aca="false">IFERROR(__xludf.dummyfunction("""COMPUTED_VALUE"""),389.2)</f>
        <v>389.2</v>
      </c>
    </row>
    <row r="94" customFormat="false" ht="14.25" hidden="false" customHeight="true" outlineLevel="0" collapsed="false">
      <c r="D94" s="7" t="str">
        <f aca="false">IFERROR(__xludf.dummyfunction("""COMPUTED_VALUE"""),"Langpan")</f>
        <v>Langpan</v>
      </c>
      <c r="E94" s="7" t="n">
        <f aca="false">IFERROR(__xludf.dummyfunction("""COMPUTED_VALUE"""),-34.678389)</f>
        <v>-34.678389</v>
      </c>
      <c r="F94" s="7" t="n">
        <f aca="false">IFERROR(__xludf.dummyfunction("""COMPUTED_VALUE"""),19.882029)</f>
        <v>19.882029</v>
      </c>
      <c r="G94" s="7" t="n">
        <f aca="false">IFERROR(__xludf.dummyfunction("""COMPUTED_VALUE"""),489.6)</f>
        <v>489.6</v>
      </c>
    </row>
    <row r="95" customFormat="false" ht="14.25" hidden="false" customHeight="true" outlineLevel="0" collapsed="false">
      <c r="D95" s="7" t="str">
        <f aca="false">IFERROR(__xludf.dummyfunction("""COMPUTED_VALUE"""),"Voelvlei")</f>
        <v>Voelvlei</v>
      </c>
      <c r="E95" s="7" t="n">
        <f aca="false">IFERROR(__xludf.dummyfunction("""COMPUTED_VALUE"""),-34.60931)</f>
        <v>-34.60931</v>
      </c>
      <c r="F95" s="7" t="n">
        <f aca="false">IFERROR(__xludf.dummyfunction("""COMPUTED_VALUE"""),19.91832)</f>
        <v>19.91832</v>
      </c>
      <c r="G95" s="7" t="n">
        <f aca="false">IFERROR(__xludf.dummyfunction("""COMPUTED_VALUE"""),945.5)</f>
        <v>945.5</v>
      </c>
    </row>
    <row r="96" customFormat="false" ht="14.25" hidden="false" customHeight="true" outlineLevel="0" collapsed="false">
      <c r="D96" s="7" t="str">
        <f aca="false">IFERROR(__xludf.dummyfunction("""COMPUTED_VALUE"""),"Rondepan")</f>
        <v>Rondepan</v>
      </c>
      <c r="E96" s="7" t="n">
        <f aca="false">IFERROR(__xludf.dummyfunction("""COMPUTED_VALUE"""),-34.75966)</f>
        <v>-34.75966</v>
      </c>
      <c r="F96" s="7" t="n">
        <f aca="false">IFERROR(__xludf.dummyfunction("""COMPUTED_VALUE"""),19.92725)</f>
        <v>19.92725</v>
      </c>
      <c r="G96" s="7" t="n">
        <f aca="false">IFERROR(__xludf.dummyfunction("""COMPUTED_VALUE"""),1019.3)</f>
        <v>1019.3</v>
      </c>
    </row>
    <row r="97" customFormat="false" ht="14.25" hidden="false" customHeight="true" outlineLevel="0" collapsed="false">
      <c r="D97" s="7" t="str">
        <f aca="false">IFERROR(__xludf.dummyfunction("""COMPUTED_VALUE"""),"Rhenosterkop pan")</f>
        <v>Rhenosterkop pan</v>
      </c>
      <c r="E97" s="7" t="n">
        <f aca="false">IFERROR(__xludf.dummyfunction("""COMPUTED_VALUE"""),-33.49922)</f>
        <v>-33.49922</v>
      </c>
      <c r="F97" s="7" t="n">
        <f aca="false">IFERROR(__xludf.dummyfunction("""COMPUTED_VALUE"""),23.63675)</f>
        <v>23.63675</v>
      </c>
      <c r="G97" s="7" t="n">
        <f aca="false">IFERROR(__xludf.dummyfunction("""COMPUTED_VALUE"""),387.8)</f>
        <v>387.8</v>
      </c>
    </row>
    <row r="98" customFormat="false" ht="14.25" hidden="false" customHeight="true" outlineLevel="0" collapsed="false">
      <c r="D98" s="7" t="str">
        <f aca="false">IFERROR(__xludf.dummyfunction("""COMPUTED_VALUE"""),"RG_NW")</f>
        <v>RG_NW</v>
      </c>
      <c r="E98" s="7" t="n">
        <f aca="false">IFERROR(__xludf.dummyfunction("""COMPUTED_VALUE"""),-33.52192)</f>
        <v>-33.52192</v>
      </c>
      <c r="F98" s="7" t="n">
        <f aca="false">IFERROR(__xludf.dummyfunction("""COMPUTED_VALUE"""),23.71476)</f>
        <v>23.71476</v>
      </c>
      <c r="G98" s="7" t="n">
        <f aca="false">IFERROR(__xludf.dummyfunction("""COMPUTED_VALUE"""),496.1)</f>
        <v>496.1</v>
      </c>
    </row>
    <row r="99" customFormat="false" ht="14.25" hidden="false" customHeight="true" outlineLevel="0" collapsed="false">
      <c r="D99" s="7" t="str">
        <f aca="false">IFERROR(__xludf.dummyfunction("""COMPUTED_VALUE"""),"RG_RR")</f>
        <v>RG_RR</v>
      </c>
      <c r="E99" s="7" t="n">
        <f aca="false">IFERROR(__xludf.dummyfunction("""COMPUTED_VALUE"""),-33.56981)</f>
        <v>-33.56981</v>
      </c>
      <c r="F99" s="7" t="n">
        <f aca="false">IFERROR(__xludf.dummyfunction("""COMPUTED_VALUE"""),23.7191)</f>
        <v>23.7191</v>
      </c>
      <c r="G99" s="7" t="n">
        <f aca="false">IFERROR(__xludf.dummyfunction("""COMPUTED_VALUE"""),391.8)</f>
        <v>391.8</v>
      </c>
    </row>
    <row r="100" customFormat="false" ht="14.25" hidden="false" customHeight="true" outlineLevel="0" collapsed="false">
      <c r="D100" s="7" t="str">
        <f aca="false">IFERROR(__xludf.dummyfunction("""COMPUTED_VALUE"""),"RG_MF")</f>
        <v>RG_MF</v>
      </c>
      <c r="E100" s="7" t="n">
        <f aca="false">IFERROR(__xludf.dummyfunction("""COMPUTED_VALUE"""),-33.56708)</f>
        <v>-33.56708</v>
      </c>
      <c r="F100" s="7" t="n">
        <f aca="false">IFERROR(__xludf.dummyfunction("""COMPUTED_VALUE"""),23.89091)</f>
        <v>23.89091</v>
      </c>
      <c r="G100" s="7" t="n">
        <f aca="false">IFERROR(__xludf.dummyfunction("""COMPUTED_VALUE"""),386.7)</f>
        <v>386.7</v>
      </c>
    </row>
    <row r="101" customFormat="false" ht="14.25" hidden="false" customHeight="true" outlineLevel="0" collapsed="false">
      <c r="D101" s="7" t="str">
        <f aca="false">IFERROR(__xludf.dummyfunction("""COMPUTED_VALUE"""),"RG_BK-MT")</f>
        <v>RG_BK-MT</v>
      </c>
      <c r="E101" s="7" t="n">
        <f aca="false">IFERROR(__xludf.dummyfunction("""COMPUTED_VALUE"""),-33.52161)</f>
        <v>-33.52161</v>
      </c>
      <c r="F101" s="7" t="n">
        <f aca="false">IFERROR(__xludf.dummyfunction("""COMPUTED_VALUE"""),23.91227)</f>
        <v>23.91227</v>
      </c>
      <c r="G101" s="7" t="n">
        <f aca="false">IFERROR(__xludf.dummyfunction("""COMPUTED_VALUE"""),399.6)</f>
        <v>399.6</v>
      </c>
    </row>
    <row r="102" customFormat="false" ht="14.25" hidden="false" customHeight="true" outlineLevel="0" collapsed="false">
      <c r="D102" s="7" t="str">
        <f aca="false">IFERROR(__xludf.dummyfunction("""COMPUTED_VALUE"""),"RG_BK-FP")</f>
        <v>RG_BK-FP</v>
      </c>
      <c r="E102" s="7" t="n">
        <f aca="false">IFERROR(__xludf.dummyfunction("""COMPUTED_VALUE"""),-33.57837)</f>
        <v>-33.57837</v>
      </c>
      <c r="F102" s="7" t="n">
        <f aca="false">IFERROR(__xludf.dummyfunction("""COMPUTED_VALUE"""),24.13846)</f>
        <v>24.13846</v>
      </c>
      <c r="G102" s="7" t="n">
        <f aca="false">IFERROR(__xludf.dummyfunction("""COMPUTED_VALUE"""),175.2)</f>
        <v>175.2</v>
      </c>
    </row>
    <row r="103" customFormat="false" ht="14.25" hidden="false" customHeight="true" outlineLevel="0" collapsed="false">
      <c r="D103" s="7" t="str">
        <f aca="false">IFERROR(__xludf.dummyfunction("""COMPUTED_VALUE"""),"WS_JKF")</f>
        <v>WS_JKF</v>
      </c>
      <c r="E103" s="7" t="n">
        <f aca="false">IFERROR(__xludf.dummyfunction("""COMPUTED_VALUE"""),-33.59034)</f>
        <v>-33.59034</v>
      </c>
      <c r="F103" s="7" t="n">
        <f aca="false">IFERROR(__xludf.dummyfunction("""COMPUTED_VALUE"""),24.1396)</f>
        <v>24.1396</v>
      </c>
      <c r="G103" s="7" t="n">
        <f aca="false">IFERROR(__xludf.dummyfunction("""COMPUTED_VALUE"""),770)</f>
        <v>770</v>
      </c>
    </row>
    <row r="104" customFormat="false" ht="14.25" hidden="false" customHeight="true" outlineLevel="0" collapsed="false">
      <c r="D104" s="7" t="str">
        <f aca="false">IFERROR(__xludf.dummyfunction("""COMPUTED_VALUE"""),"WS_JKH")</f>
        <v>WS_JKH</v>
      </c>
      <c r="E104" s="7" t="n">
        <f aca="false">IFERROR(__xludf.dummyfunction("""COMPUTED_VALUE"""),-33.659072)</f>
        <v>-33.659072</v>
      </c>
      <c r="F104" s="7" t="n">
        <f aca="false">IFERROR(__xludf.dummyfunction("""COMPUTED_VALUE"""),24.217445)</f>
        <v>24.217445</v>
      </c>
      <c r="G104" s="7" t="n">
        <f aca="false">IFERROR(__xludf.dummyfunction("""COMPUTED_VALUE"""),641.1)</f>
        <v>641.1</v>
      </c>
    </row>
    <row r="105" customFormat="false" ht="14.25" hidden="false" customHeight="true" outlineLevel="0" collapsed="false">
      <c r="D105" s="7" t="str">
        <f aca="false">IFERROR(__xludf.dummyfunction("""COMPUTED_VALUE"""),"RG_GH")</f>
        <v>RG_GH</v>
      </c>
      <c r="E105" s="7" t="n">
        <f aca="false">IFERROR(__xludf.dummyfunction("""COMPUTED_VALUE"""),-33.4933)</f>
        <v>-33.4933</v>
      </c>
      <c r="F105" s="7" t="n">
        <f aca="false">IFERROR(__xludf.dummyfunction("""COMPUTED_VALUE"""),23.63685)</f>
        <v>23.63685</v>
      </c>
      <c r="G105" s="7" t="n">
        <f aca="false">IFERROR(__xludf.dummyfunction("""COMPUTED_VALUE"""),393.6)</f>
        <v>393.6</v>
      </c>
    </row>
    <row r="106" customFormat="false" ht="14.25" hidden="false" customHeight="true" outlineLevel="0" collapsed="false">
      <c r="D106" s="7" t="str">
        <f aca="false">IFERROR(__xludf.dummyfunction("""COMPUTED_VALUE"""),"BH-BR_NW")</f>
        <v>BH-BR_NW</v>
      </c>
      <c r="E106" s="7" t="n">
        <f aca="false">IFERROR(__xludf.dummyfunction("""COMPUTED_VALUE"""),-33.57895)</f>
        <v>-33.57895</v>
      </c>
      <c r="F106" s="7" t="n">
        <f aca="false">IFERROR(__xludf.dummyfunction("""COMPUTED_VALUE"""),24.13804)</f>
        <v>24.13804</v>
      </c>
      <c r="G106" s="7" t="n">
        <f aca="false">IFERROR(__xludf.dummyfunction("""COMPUTED_VALUE"""),390.5)</f>
        <v>390.5</v>
      </c>
    </row>
    <row r="107" customFormat="false" ht="14.25" hidden="false" customHeight="true" outlineLevel="0" collapsed="false">
      <c r="D107" s="7" t="str">
        <f aca="false">IFERROR(__xludf.dummyfunction("""COMPUTED_VALUE"""),"PZM-BR_JK-D2")</f>
        <v>PZM-BR_JK-D2</v>
      </c>
      <c r="E107" s="7" t="n">
        <f aca="false">IFERROR(__xludf.dummyfunction("""COMPUTED_VALUE"""),-33.55012)</f>
        <v>-33.55012</v>
      </c>
      <c r="F107" s="7" t="n">
        <f aca="false">IFERROR(__xludf.dummyfunction("""COMPUTED_VALUE"""),24.00706)</f>
        <v>24.00706</v>
      </c>
      <c r="G107" s="7" t="n">
        <f aca="false">IFERROR(__xludf.dummyfunction("""COMPUTED_VALUE"""),391.2)</f>
        <v>391.2</v>
      </c>
    </row>
    <row r="108" customFormat="false" ht="14.25" hidden="false" customHeight="true" outlineLevel="0" collapsed="false">
      <c r="D108" s="7" t="str">
        <f aca="false">IFERROR(__xludf.dummyfunction("""COMPUTED_VALUE"""),"RV-PT_ZM")</f>
        <v>RV-PT_ZM</v>
      </c>
      <c r="E108" s="7" t="n">
        <f aca="false">IFERROR(__xludf.dummyfunction("""COMPUTED_VALUE"""),-33.57744)</f>
        <v>-33.57744</v>
      </c>
      <c r="F108" s="7" t="n">
        <f aca="false">IFERROR(__xludf.dummyfunction("""COMPUTED_VALUE"""),24.1325)</f>
        <v>24.1325</v>
      </c>
      <c r="G108" s="7" t="n">
        <f aca="false">IFERROR(__xludf.dummyfunction("""COMPUTED_VALUE"""),598.7)</f>
        <v>598.7</v>
      </c>
    </row>
    <row r="109" customFormat="false" ht="14.25" hidden="false" customHeight="true" outlineLevel="0" collapsed="false">
      <c r="D109" s="7" t="str">
        <f aca="false">IFERROR(__xludf.dummyfunction("""COMPUTED_VALUE"""),"RV-PT_JK1")</f>
        <v>RV-PT_JK1</v>
      </c>
      <c r="E109" s="7" t="n">
        <f aca="false">IFERROR(__xludf.dummyfunction("""COMPUTED_VALUE"""),-33.57992)</f>
        <v>-33.57992</v>
      </c>
      <c r="F109" s="7" t="n">
        <f aca="false">IFERROR(__xludf.dummyfunction("""COMPUTED_VALUE"""),24.13746)</f>
        <v>24.13746</v>
      </c>
      <c r="G109" s="7" t="n">
        <f aca="false">IFERROR(__xludf.dummyfunction("""COMPUTED_VALUE"""),445.8)</f>
        <v>445.8</v>
      </c>
    </row>
    <row r="110" customFormat="false" ht="14.25" hidden="false" customHeight="true" outlineLevel="0" collapsed="false">
      <c r="D110" s="7" t="str">
        <f aca="false">IFERROR(__xludf.dummyfunction("""COMPUTED_VALUE"""),"RV-PT_JK2")</f>
        <v>RV-PT_JK2</v>
      </c>
      <c r="E110" s="7" t="n">
        <f aca="false">IFERROR(__xludf.dummyfunction("""COMPUTED_VALUE"""),-33.57543)</f>
        <v>-33.57543</v>
      </c>
      <c r="F110" s="7" t="n">
        <f aca="false">IFERROR(__xludf.dummyfunction("""COMPUTED_VALUE"""),24.14717)</f>
        <v>24.14717</v>
      </c>
      <c r="G110" s="7" t="n">
        <f aca="false">IFERROR(__xludf.dummyfunction("""COMPUTED_VALUE"""),386.9)</f>
        <v>386.9</v>
      </c>
    </row>
    <row r="111" customFormat="false" ht="14.25" hidden="false" customHeight="true" outlineLevel="0" collapsed="false">
      <c r="D111" s="7" t="str">
        <f aca="false">IFERROR(__xludf.dummyfunction("""COMPUTED_VALUE"""),"RV-PT_GN")</f>
        <v>RV-PT_GN</v>
      </c>
      <c r="E111" s="7" t="n">
        <f aca="false">IFERROR(__xludf.dummyfunction("""COMPUTED_VALUE"""),-33.66641)</f>
        <v>-33.66641</v>
      </c>
      <c r="F111" s="7" t="n">
        <f aca="false">IFERROR(__xludf.dummyfunction("""COMPUTED_VALUE"""),24.38569)</f>
        <v>24.38569</v>
      </c>
      <c r="G111" s="7" t="n">
        <f aca="false">IFERROR(__xludf.dummyfunction("""COMPUTED_VALUE"""),353.2)</f>
        <v>353.2</v>
      </c>
    </row>
    <row r="112" customFormat="false" ht="14.25" hidden="false" customHeight="true" outlineLevel="0" collapsed="false">
      <c r="D112" s="7" t="str">
        <f aca="false">IFERROR(__xludf.dummyfunction("""COMPUTED_VALUE"""),"RV-PT_RH")</f>
        <v>RV-PT_RH</v>
      </c>
      <c r="E112" s="7" t="n">
        <f aca="false">IFERROR(__xludf.dummyfunction("""COMPUTED_VALUE"""),-33.52325)</f>
        <v>-33.52325</v>
      </c>
      <c r="F112" s="7" t="n">
        <f aca="false">IFERROR(__xludf.dummyfunction("""COMPUTED_VALUE"""),23.72985)</f>
        <v>23.72985</v>
      </c>
      <c r="G112" s="7" t="n">
        <f aca="false">IFERROR(__xludf.dummyfunction("""COMPUTED_VALUE"""),337.7)</f>
        <v>337.7</v>
      </c>
    </row>
    <row r="113" customFormat="false" ht="14.25" hidden="false" customHeight="true" outlineLevel="0" collapsed="false">
      <c r="D113" s="7" t="str">
        <f aca="false">IFERROR(__xludf.dummyfunction("""COMPUTED_VALUE"""),"BH-PT_NW")</f>
        <v>BH-PT_NW</v>
      </c>
      <c r="E113" s="7" t="n">
        <f aca="false">IFERROR(__xludf.dummyfunction("""COMPUTED_VALUE"""),-33.5225)</f>
        <v>-33.5225</v>
      </c>
      <c r="F113" s="7" t="n">
        <f aca="false">IFERROR(__xludf.dummyfunction("""COMPUTED_VALUE"""),23.84583)</f>
        <v>23.84583</v>
      </c>
      <c r="G113" s="7" t="n">
        <f aca="false">IFERROR(__xludf.dummyfunction("""COMPUTED_VALUE"""),307.3)</f>
        <v>307.3</v>
      </c>
    </row>
    <row r="114" customFormat="false" ht="14.25" hidden="false" customHeight="true" outlineLevel="0" collapsed="false">
      <c r="D114" s="7" t="str">
        <f aca="false">IFERROR(__xludf.dummyfunction("""COMPUTED_VALUE"""),"BH-PT_RR")</f>
        <v>BH-PT_RR</v>
      </c>
      <c r="E114" s="7" t="n">
        <f aca="false">IFERROR(__xludf.dummyfunction("""COMPUTED_VALUE"""),-33.57673)</f>
        <v>-33.57673</v>
      </c>
      <c r="F114" s="7" t="n">
        <f aca="false">IFERROR(__xludf.dummyfunction("""COMPUTED_VALUE"""),24.13177)</f>
        <v>24.13177</v>
      </c>
      <c r="G114" s="7" t="n">
        <f aca="false">IFERROR(__xludf.dummyfunction("""COMPUTED_VALUE"""),394.2)</f>
        <v>394.2</v>
      </c>
    </row>
    <row r="115" customFormat="false" ht="14.25" hidden="false" customHeight="true" outlineLevel="0" collapsed="false">
      <c r="D115" s="7" t="str">
        <f aca="false">IFERROR(__xludf.dummyfunction("""COMPUTED_VALUE"""),"BH-PT_VR")</f>
        <v>BH-PT_VR</v>
      </c>
      <c r="E115" s="7" t="n">
        <f aca="false">IFERROR(__xludf.dummyfunction("""COMPUTED_VALUE"""),-33.57951)</f>
        <v>-33.57951</v>
      </c>
      <c r="F115" s="7" t="n">
        <f aca="false">IFERROR(__xludf.dummyfunction("""COMPUTED_VALUE"""),24.13303)</f>
        <v>24.13303</v>
      </c>
      <c r="G115" s="7" t="n">
        <f aca="false">IFERROR(__xludf.dummyfunction("""COMPUTED_VALUE"""),393)</f>
        <v>393</v>
      </c>
    </row>
    <row r="116" customFormat="false" ht="14.25" hidden="false" customHeight="true" outlineLevel="0" collapsed="false">
      <c r="D116" s="7" t="str">
        <f aca="false">IFERROR(__xludf.dummyfunction("""COMPUTED_VALUE"""),"PZM-PT_JK-U2")</f>
        <v>PZM-PT_JK-U2</v>
      </c>
      <c r="E116" s="7" t="n">
        <f aca="false">IFERROR(__xludf.dummyfunction("""COMPUTED_VALUE"""),-33.57829)</f>
        <v>-33.57829</v>
      </c>
      <c r="F116" s="7" t="n">
        <f aca="false">IFERROR(__xludf.dummyfunction("""COMPUTED_VALUE"""),24.13355)</f>
        <v>24.13355</v>
      </c>
      <c r="G116" s="7" t="n">
        <f aca="false">IFERROR(__xludf.dummyfunction("""COMPUTED_VALUE"""),391.9)</f>
        <v>391.9</v>
      </c>
    </row>
    <row r="117" customFormat="false" ht="14.25" hidden="false" customHeight="true" outlineLevel="0" collapsed="false">
      <c r="D117" s="7" t="str">
        <f aca="false">IFERROR(__xludf.dummyfunction("""COMPUTED_VALUE"""),"PZM-PT_JK-M6")</f>
        <v>PZM-PT_JK-M6</v>
      </c>
      <c r="E117" s="7" t="n">
        <f aca="false">IFERROR(__xludf.dummyfunction("""COMPUTED_VALUE"""),-33.5298)</f>
        <v>-33.5298</v>
      </c>
      <c r="F117" s="7" t="n">
        <f aca="false">IFERROR(__xludf.dummyfunction("""COMPUTED_VALUE"""),23.90759)</f>
        <v>23.90759</v>
      </c>
      <c r="G117" s="7" t="n">
        <f aca="false">IFERROR(__xludf.dummyfunction("""COMPUTED_VALUE"""),392.7)</f>
        <v>392.7</v>
      </c>
    </row>
    <row r="118" customFormat="false" ht="14.25" hidden="false" customHeight="true" outlineLevel="0" collapsed="false">
      <c r="D118" s="7" t="str">
        <f aca="false">IFERROR(__xludf.dummyfunction("""COMPUTED_VALUE"""),"PZM-PT_JK-M4")</f>
        <v>PZM-PT_JK-M4</v>
      </c>
      <c r="E118" s="7" t="n">
        <f aca="false">IFERROR(__xludf.dummyfunction("""COMPUTED_VALUE"""),-33.5637)</f>
        <v>-33.5637</v>
      </c>
      <c r="F118" s="7" t="n">
        <f aca="false">IFERROR(__xludf.dummyfunction("""COMPUTED_VALUE"""),24.06234)</f>
        <v>24.06234</v>
      </c>
      <c r="G118" s="7" t="n">
        <f aca="false">IFERROR(__xludf.dummyfunction("""COMPUTED_VALUE"""),390.9)</f>
        <v>390.9</v>
      </c>
    </row>
    <row r="119" customFormat="false" ht="14.25" hidden="false" customHeight="true" outlineLevel="0" collapsed="false">
      <c r="D119" s="7" t="str">
        <f aca="false">IFERROR(__xludf.dummyfunction("""COMPUTED_VALUE"""),"PZM-PT_JK-D2")</f>
        <v>PZM-PT_JK-D2</v>
      </c>
      <c r="E119" s="7" t="n">
        <f aca="false">IFERROR(__xludf.dummyfunction("""COMPUTED_VALUE"""),-33.582)</f>
        <v>-33.582</v>
      </c>
      <c r="F119" s="7" t="n">
        <f aca="false">IFERROR(__xludf.dummyfunction("""COMPUTED_VALUE"""),24.13396)</f>
        <v>24.13396</v>
      </c>
      <c r="G119" s="7" t="n">
        <f aca="false">IFERROR(__xludf.dummyfunction("""COMPUTED_VALUE"""),392.6)</f>
        <v>392.6</v>
      </c>
    </row>
    <row r="120" customFormat="false" ht="14.25" hidden="false" customHeight="true" outlineLevel="0" collapsed="false">
      <c r="D120" s="7" t="str">
        <f aca="false">IFERROR(__xludf.dummyfunction("""COMPUTED_VALUE"""),"PTZ_VR")</f>
        <v>PTZ_VR</v>
      </c>
      <c r="E120" s="7" t="n">
        <f aca="false">IFERROR(__xludf.dummyfunction("""COMPUTED_VALUE"""),-33.6012)</f>
        <v>-33.6012</v>
      </c>
      <c r="F120" s="7" t="n">
        <f aca="false">IFERROR(__xludf.dummyfunction("""COMPUTED_VALUE"""),24.18192)</f>
        <v>24.18192</v>
      </c>
      <c r="G120" s="7" t="n">
        <f aca="false">IFERROR(__xludf.dummyfunction("""COMPUTED_VALUE"""),387.1)</f>
        <v>387.1</v>
      </c>
    </row>
    <row r="121" customFormat="false" ht="14.25" hidden="false" customHeight="true" outlineLevel="0" collapsed="false">
      <c r="D121" s="7" t="str">
        <f aca="false">IFERROR(__xludf.dummyfunction("""COMPUTED_VALUE"""),"PTZ_BK")</f>
        <v>PTZ_BK</v>
      </c>
      <c r="E121" s="7" t="n">
        <f aca="false">IFERROR(__xludf.dummyfunction("""COMPUTED_VALUE"""),-33.6015)</f>
        <v>-33.6015</v>
      </c>
      <c r="F121" s="7" t="n">
        <f aca="false">IFERROR(__xludf.dummyfunction("""COMPUTED_VALUE"""),24.20712)</f>
        <v>24.20712</v>
      </c>
      <c r="G121" s="7" t="n">
        <f aca="false">IFERROR(__xludf.dummyfunction("""COMPUTED_VALUE"""),387.3)</f>
        <v>387.3</v>
      </c>
    </row>
    <row r="122" customFormat="false" ht="14.25" hidden="false" customHeight="true" outlineLevel="0" collapsed="false">
      <c r="D122" s="7" t="str">
        <f aca="false">IFERROR(__xludf.dummyfunction("""COMPUTED_VALUE"""),"PTZ_DD")</f>
        <v>PTZ_DD</v>
      </c>
      <c r="E122" s="7" t="n">
        <f aca="false">IFERROR(__xludf.dummyfunction("""COMPUTED_VALUE"""),-33.6121)</f>
        <v>-33.6121</v>
      </c>
      <c r="F122" s="7" t="n">
        <f aca="false">IFERROR(__xludf.dummyfunction("""COMPUTED_VALUE"""),24.24658)</f>
        <v>24.24658</v>
      </c>
      <c r="G122" s="7" t="n">
        <f aca="false">IFERROR(__xludf.dummyfunction("""COMPUTED_VALUE"""),387.2)</f>
        <v>387.2</v>
      </c>
    </row>
    <row r="123" customFormat="false" ht="14.25" hidden="false" customHeight="true" outlineLevel="0" collapsed="false">
      <c r="D123" s="7" t="str">
        <f aca="false">IFERROR(__xludf.dummyfunction("""COMPUTED_VALUE"""),"PTZ_JK")</f>
        <v>PTZ_JK</v>
      </c>
      <c r="E123" s="7" t="n">
        <f aca="false">IFERROR(__xludf.dummyfunction("""COMPUTED_VALUE"""),-33.57576)</f>
        <v>-33.57576</v>
      </c>
      <c r="F123" s="7" t="n">
        <f aca="false">IFERROR(__xludf.dummyfunction("""COMPUTED_VALUE"""),24.13175)</f>
        <v>24.13175</v>
      </c>
      <c r="G123" s="7" t="n">
        <f aca="false">IFERROR(__xludf.dummyfunction("""COMPUTED_VALUE"""),387.9)</f>
        <v>387.9</v>
      </c>
    </row>
    <row r="124" customFormat="false" ht="14.25" hidden="false" customHeight="true" outlineLevel="0" collapsed="false">
      <c r="D124" s="7" t="str">
        <f aca="false">IFERROR(__xludf.dummyfunction("""COMPUTED_VALUE"""),"PTZ_ZF")</f>
        <v>PTZ_ZF</v>
      </c>
      <c r="E124" s="7" t="n">
        <f aca="false">IFERROR(__xludf.dummyfunction("""COMPUTED_VALUE"""),-33.57714)</f>
        <v>-33.57714</v>
      </c>
      <c r="F124" s="7" t="n">
        <f aca="false">IFERROR(__xludf.dummyfunction("""COMPUTED_VALUE"""),24.13189)</f>
        <v>24.13189</v>
      </c>
      <c r="G124" s="7" t="n">
        <f aca="false">IFERROR(__xludf.dummyfunction("""COMPUTED_VALUE"""),389.4)</f>
        <v>389.4</v>
      </c>
    </row>
    <row r="125" customFormat="false" ht="14.25" hidden="false" customHeight="true" outlineLevel="0" collapsed="false">
      <c r="D125" s="7" t="str">
        <f aca="false">IFERROR(__xludf.dummyfunction("""COMPUTED_VALUE"""),"PTZ_TN")</f>
        <v>PTZ_TN</v>
      </c>
      <c r="E125" s="7" t="n">
        <f aca="false">IFERROR(__xludf.dummyfunction("""COMPUTED_VALUE"""),-33.57934)</f>
        <v>-33.57934</v>
      </c>
      <c r="F125" s="7" t="n">
        <f aca="false">IFERROR(__xludf.dummyfunction("""COMPUTED_VALUE"""),24.13201)</f>
        <v>24.13201</v>
      </c>
      <c r="G125" s="7" t="n">
        <f aca="false">IFERROR(__xludf.dummyfunction("""COMPUTED_VALUE"""),271.8)</f>
        <v>271.8</v>
      </c>
    </row>
    <row r="126" customFormat="false" ht="14.25" hidden="false" customHeight="true" outlineLevel="0" collapsed="false">
      <c r="D126" s="7" t="str">
        <f aca="false">IFERROR(__xludf.dummyfunction("""COMPUTED_VALUE"""),"PTZ_LG")</f>
        <v>PTZ_LG</v>
      </c>
      <c r="E126" s="7" t="n">
        <f aca="false">IFERROR(__xludf.dummyfunction("""COMPUTED_VALUE"""),-33.57797)</f>
        <v>-33.57797</v>
      </c>
      <c r="F126" s="7" t="n">
        <f aca="false">IFERROR(__xludf.dummyfunction("""COMPUTED_VALUE"""),24.13211)</f>
        <v>24.13211</v>
      </c>
      <c r="G126" s="7" t="n">
        <f aca="false">IFERROR(__xludf.dummyfunction("""COMPUTED_VALUE"""),475.9)</f>
        <v>475.9</v>
      </c>
    </row>
    <row r="127" customFormat="false" ht="14.25" hidden="false" customHeight="true" outlineLevel="0" collapsed="false">
      <c r="D127" s="7" t="str">
        <f aca="false">IFERROR(__xludf.dummyfunction("""COMPUTED_VALUE"""),"PZM_JK-U1")</f>
        <v>PZM_JK-U1</v>
      </c>
      <c r="E127" s="7" t="n">
        <f aca="false">IFERROR(__xludf.dummyfunction("""COMPUTED_VALUE"""),-33.57845)</f>
        <v>-33.57845</v>
      </c>
      <c r="F127" s="7" t="n">
        <f aca="false">IFERROR(__xludf.dummyfunction("""COMPUTED_VALUE"""),24.13217)</f>
        <v>24.13217</v>
      </c>
      <c r="G127" s="7" t="n">
        <f aca="false">IFERROR(__xludf.dummyfunction("""COMPUTED_VALUE"""),189.8)</f>
        <v>189.8</v>
      </c>
    </row>
    <row r="128" customFormat="false" ht="14.25" hidden="false" customHeight="true" outlineLevel="0" collapsed="false">
      <c r="D128" s="7" t="str">
        <f aca="false">IFERROR(__xludf.dummyfunction("""COMPUTED_VALUE"""),"PZM_JK-U3")</f>
        <v>PZM_JK-U3</v>
      </c>
      <c r="E128" s="7" t="n">
        <f aca="false">IFERROR(__xludf.dummyfunction("""COMPUTED_VALUE"""),-33.57872)</f>
        <v>-33.57872</v>
      </c>
      <c r="F128" s="7" t="n">
        <f aca="false">IFERROR(__xludf.dummyfunction("""COMPUTED_VALUE"""),24.13338)</f>
        <v>24.13338</v>
      </c>
      <c r="G128" s="7" t="n">
        <f aca="false">IFERROR(__xludf.dummyfunction("""COMPUTED_VALUE"""),381.4)</f>
        <v>381.4</v>
      </c>
    </row>
    <row r="129" customFormat="false" ht="14.25" hidden="false" customHeight="true" outlineLevel="0" collapsed="false">
      <c r="D129" s="7" t="str">
        <f aca="false">IFERROR(__xludf.dummyfunction("""COMPUTED_VALUE"""),"PZM_JK-U6")</f>
        <v>PZM_JK-U6</v>
      </c>
      <c r="E129" s="7" t="n">
        <f aca="false">IFERROR(__xludf.dummyfunction("""COMPUTED_VALUE"""),-33.57723)</f>
        <v>-33.57723</v>
      </c>
      <c r="F129" s="7" t="n">
        <f aca="false">IFERROR(__xludf.dummyfunction("""COMPUTED_VALUE"""),24.13393)</f>
        <v>24.13393</v>
      </c>
      <c r="G129" s="7" t="n">
        <f aca="false">IFERROR(__xludf.dummyfunction("""COMPUTED_VALUE"""),183.4)</f>
        <v>183.4</v>
      </c>
    </row>
    <row r="130" customFormat="false" ht="14.25" hidden="false" customHeight="true" outlineLevel="0" collapsed="false">
      <c r="D130" s="7" t="str">
        <f aca="false">IFERROR(__xludf.dummyfunction("""COMPUTED_VALUE"""),"PZM_JK-U4")</f>
        <v>PZM_JK-U4</v>
      </c>
      <c r="E130" s="7" t="n">
        <f aca="false">IFERROR(__xludf.dummyfunction("""COMPUTED_VALUE"""),-33.57644)</f>
        <v>-33.57644</v>
      </c>
      <c r="F130" s="7" t="n">
        <f aca="false">IFERROR(__xludf.dummyfunction("""COMPUTED_VALUE"""),24.13403)</f>
        <v>24.13403</v>
      </c>
      <c r="G130" s="7" t="n">
        <f aca="false">IFERROR(__xludf.dummyfunction("""COMPUTED_VALUE"""),396.3)</f>
        <v>396.3</v>
      </c>
    </row>
    <row r="131" customFormat="false" ht="14.25" hidden="false" customHeight="true" outlineLevel="0" collapsed="false">
      <c r="D131" s="7" t="str">
        <f aca="false">IFERROR(__xludf.dummyfunction("""COMPUTED_VALUE"""),"PZM_JK-U5")</f>
        <v>PZM_JK-U5</v>
      </c>
      <c r="E131" s="7" t="n">
        <f aca="false">IFERROR(__xludf.dummyfunction("""COMPUTED_VALUE"""),-33.57522)</f>
        <v>-33.57522</v>
      </c>
      <c r="F131" s="7" t="n">
        <f aca="false">IFERROR(__xludf.dummyfunction("""COMPUTED_VALUE"""),24.13454)</f>
        <v>24.13454</v>
      </c>
      <c r="G131" s="7" t="n">
        <f aca="false">IFERROR(__xludf.dummyfunction("""COMPUTED_VALUE"""),361.5)</f>
        <v>361.5</v>
      </c>
    </row>
    <row r="132" customFormat="false" ht="14.25" hidden="false" customHeight="true" outlineLevel="0" collapsed="false">
      <c r="D132" s="7" t="str">
        <f aca="false">IFERROR(__xludf.dummyfunction("""COMPUTED_VALUE"""),"PZM_JK-M5")</f>
        <v>PZM_JK-M5</v>
      </c>
      <c r="E132" s="7" t="n">
        <f aca="false">IFERROR(__xludf.dummyfunction("""COMPUTED_VALUE"""),-33.58075)</f>
        <v>-33.58075</v>
      </c>
      <c r="F132" s="7" t="n">
        <f aca="false">IFERROR(__xludf.dummyfunction("""COMPUTED_VALUE"""),24.13706)</f>
        <v>24.13706</v>
      </c>
      <c r="G132" s="7" t="n">
        <f aca="false">IFERROR(__xludf.dummyfunction("""COMPUTED_VALUE"""),346.1)</f>
        <v>346.1</v>
      </c>
    </row>
    <row r="133" customFormat="false" ht="14.25" hidden="false" customHeight="true" outlineLevel="0" collapsed="false">
      <c r="D133" s="7" t="str">
        <f aca="false">IFERROR(__xludf.dummyfunction("""COMPUTED_VALUE"""),"PZM_JK-M3")</f>
        <v>PZM_JK-M3</v>
      </c>
      <c r="E133" s="7" t="n">
        <f aca="false">IFERROR(__xludf.dummyfunction("""COMPUTED_VALUE"""),-33.58032)</f>
        <v>-33.58032</v>
      </c>
      <c r="F133" s="7" t="n">
        <f aca="false">IFERROR(__xludf.dummyfunction("""COMPUTED_VALUE"""),24.13734)</f>
        <v>24.13734</v>
      </c>
      <c r="G133" s="7" t="n">
        <f aca="false">IFERROR(__xludf.dummyfunction("""COMPUTED_VALUE"""),261.3)</f>
        <v>261.3</v>
      </c>
    </row>
    <row r="134" customFormat="false" ht="14.25" hidden="false" customHeight="true" outlineLevel="0" collapsed="false">
      <c r="D134" s="7" t="str">
        <f aca="false">IFERROR(__xludf.dummyfunction("""COMPUTED_VALUE"""),"PZM_JK-M2")</f>
        <v>PZM_JK-M2</v>
      </c>
      <c r="E134" s="7" t="n">
        <f aca="false">IFERROR(__xludf.dummyfunction("""COMPUTED_VALUE"""),-33.58181)</f>
        <v>-33.58181</v>
      </c>
      <c r="F134" s="7" t="n">
        <f aca="false">IFERROR(__xludf.dummyfunction("""COMPUTED_VALUE"""),24.13741)</f>
        <v>24.13741</v>
      </c>
      <c r="G134" s="7" t="n">
        <f aca="false">IFERROR(__xludf.dummyfunction("""COMPUTED_VALUE"""),262.2)</f>
        <v>262.2</v>
      </c>
    </row>
    <row r="135" customFormat="false" ht="14.25" hidden="false" customHeight="true" outlineLevel="0" collapsed="false">
      <c r="D135" s="7" t="str">
        <f aca="false">IFERROR(__xludf.dummyfunction("""COMPUTED_VALUE"""),"PZM_JK-M1")</f>
        <v>PZM_JK-M1</v>
      </c>
      <c r="E135" s="7" t="n">
        <f aca="false">IFERROR(__xludf.dummyfunction("""COMPUTED_VALUE"""),-33.57945)</f>
        <v>-33.57945</v>
      </c>
      <c r="F135" s="7" t="n">
        <f aca="false">IFERROR(__xludf.dummyfunction("""COMPUTED_VALUE"""),24.13778)</f>
        <v>24.13778</v>
      </c>
      <c r="G135" s="7" t="n">
        <f aca="false">IFERROR(__xludf.dummyfunction("""COMPUTED_VALUE"""),310.8)</f>
        <v>310.8</v>
      </c>
    </row>
    <row r="136" customFormat="false" ht="14.25" hidden="false" customHeight="true" outlineLevel="0" collapsed="false">
      <c r="D136" s="7" t="str">
        <f aca="false">IFERROR(__xludf.dummyfunction("""COMPUTED_VALUE"""),"PZM_JK-D5")</f>
        <v>PZM_JK-D5</v>
      </c>
      <c r="E136" s="7" t="n">
        <f aca="false">IFERROR(__xludf.dummyfunction("""COMPUTED_VALUE"""),-33.57826)</f>
        <v>-33.57826</v>
      </c>
      <c r="F136" s="7" t="n">
        <f aca="false">IFERROR(__xludf.dummyfunction("""COMPUTED_VALUE"""),24.13843)</f>
        <v>24.13843</v>
      </c>
      <c r="G136" s="7" t="n">
        <f aca="false">IFERROR(__xludf.dummyfunction("""COMPUTED_VALUE"""),183.5)</f>
        <v>183.5</v>
      </c>
    </row>
    <row r="137" customFormat="false" ht="14.25" hidden="false" customHeight="true" outlineLevel="0" collapsed="false">
      <c r="D137" s="7" t="str">
        <f aca="false">IFERROR(__xludf.dummyfunction("""COMPUTED_VALUE"""),"PZM_JK-D4")</f>
        <v>PZM_JK-D4</v>
      </c>
      <c r="E137" s="7" t="n">
        <f aca="false">IFERROR(__xludf.dummyfunction("""COMPUTED_VALUE"""),-33.917029)</f>
        <v>-33.917029</v>
      </c>
      <c r="F137" s="7" t="n">
        <f aca="false">IFERROR(__xludf.dummyfunction("""COMPUTED_VALUE"""),24.206527)</f>
        <v>24.206527</v>
      </c>
      <c r="G137" s="7" t="n">
        <f aca="false">IFERROR(__xludf.dummyfunction("""COMPUTED_VALUE"""),203.5)</f>
        <v>203.5</v>
      </c>
    </row>
    <row r="138" customFormat="false" ht="14.25" hidden="false" customHeight="true" outlineLevel="0" collapsed="false">
      <c r="D138" s="7" t="str">
        <f aca="false">IFERROR(__xludf.dummyfunction("""COMPUTED_VALUE"""),"PZM_JK-D6")</f>
        <v>PZM_JK-D6</v>
      </c>
      <c r="E138" s="7" t="n">
        <f aca="false">IFERROR(__xludf.dummyfunction("""COMPUTED_VALUE"""),-33.909843)</f>
        <v>-33.909843</v>
      </c>
      <c r="F138" s="7" t="n">
        <f aca="false">IFERROR(__xludf.dummyfunction("""COMPUTED_VALUE"""),24.214617)</f>
        <v>24.214617</v>
      </c>
      <c r="G138" s="7" t="n">
        <f aca="false">IFERROR(__xludf.dummyfunction("""COMPUTED_VALUE"""),419)</f>
        <v>419</v>
      </c>
    </row>
    <row r="139" customFormat="false" ht="14.25" hidden="false" customHeight="true" outlineLevel="0" collapsed="false">
      <c r="D139" s="7" t="str">
        <f aca="false">IFERROR(__xludf.dummyfunction("""COMPUTED_VALUE"""),"PZM_JK-D3")</f>
        <v>PZM_JK-D3</v>
      </c>
      <c r="E139" s="7" t="n">
        <f aca="false">IFERROR(__xludf.dummyfunction("""COMPUTED_VALUE"""),-33.958907)</f>
        <v>-33.958907</v>
      </c>
      <c r="F139" s="7" t="n">
        <f aca="false">IFERROR(__xludf.dummyfunction("""COMPUTED_VALUE"""),24.367378)</f>
        <v>24.367378</v>
      </c>
      <c r="G139" s="7" t="n">
        <f aca="false">IFERROR(__xludf.dummyfunction("""COMPUTED_VALUE"""),298.8)</f>
        <v>298.8</v>
      </c>
    </row>
    <row r="140" customFormat="false" ht="14.25" hidden="false" customHeight="true" outlineLevel="0" collapsed="false">
      <c r="D140" s="7" t="str">
        <f aca="false">IFERROR(__xludf.dummyfunction("""COMPUTED_VALUE"""),"PZM_JK-D1")</f>
        <v>PZM_JK-D1</v>
      </c>
      <c r="E140" s="7" t="n">
        <f aca="false">IFERROR(__xludf.dummyfunction("""COMPUTED_VALUE"""),-33.993247)</f>
        <v>-33.993247</v>
      </c>
      <c r="F140" s="7" t="n">
        <f aca="false">IFERROR(__xludf.dummyfunction("""COMPUTED_VALUE"""),24.404651)</f>
        <v>24.404651</v>
      </c>
      <c r="G140" s="7" t="n">
        <f aca="false">IFERROR(__xludf.dummyfunction("""COMPUTED_VALUE"""),286.7)</f>
        <v>286.7</v>
      </c>
    </row>
    <row r="141" customFormat="false" ht="14.25" hidden="false" customHeight="true" outlineLevel="0" collapsed="false">
      <c r="D141" s="7" t="str">
        <f aca="false">IFERROR(__xludf.dummyfunction("""COMPUTED_VALUE"""),"RG_HV-FP")</f>
        <v>RG_HV-FP</v>
      </c>
      <c r="E141" s="7" t="n">
        <f aca="false">IFERROR(__xludf.dummyfunction("""COMPUTED_VALUE"""),-33.963071)</f>
        <v>-33.963071</v>
      </c>
      <c r="F141" s="7" t="n">
        <f aca="false">IFERROR(__xludf.dummyfunction("""COMPUTED_VALUE"""),24.379102)</f>
        <v>24.379102</v>
      </c>
      <c r="G141" s="7" t="n">
        <f aca="false">IFERROR(__xludf.dummyfunction("""COMPUTED_VALUE"""),389.9)</f>
        <v>389.9</v>
      </c>
    </row>
    <row r="142" customFormat="false" ht="14.25" hidden="false" customHeight="true" outlineLevel="0" collapsed="false">
      <c r="D142" s="7" t="str">
        <f aca="false">IFERROR(__xludf.dummyfunction("""COMPUTED_VALUE"""),"RG_HV-MT")</f>
        <v>RG_HV-MT</v>
      </c>
      <c r="E142" s="7" t="n">
        <f aca="false">IFERROR(__xludf.dummyfunction("""COMPUTED_VALUE"""),-33.86738)</f>
        <v>-33.86738</v>
      </c>
      <c r="F142" s="7" t="n">
        <f aca="false">IFERROR(__xludf.dummyfunction("""COMPUTED_VALUE"""),24.016692)</f>
        <v>24.016692</v>
      </c>
      <c r="G142" s="7" t="n">
        <f aca="false">IFERROR(__xludf.dummyfunction("""COMPUTED_VALUE"""),360)</f>
        <v>360</v>
      </c>
    </row>
    <row r="143" customFormat="false" ht="14.25" hidden="false" customHeight="true" outlineLevel="0" collapsed="false">
      <c r="D143" s="7" t="str">
        <f aca="false">IFERROR(__xludf.dummyfunction("""COMPUTED_VALUE"""),"RG_WV")</f>
        <v>RG_WV</v>
      </c>
      <c r="E143" s="7" t="n">
        <f aca="false">IFERROR(__xludf.dummyfunction("""COMPUTED_VALUE"""),-33.878366)</f>
        <v>-33.878366</v>
      </c>
      <c r="F143" s="7" t="n">
        <f aca="false">IFERROR(__xludf.dummyfunction("""COMPUTED_VALUE"""),24.053166)</f>
        <v>24.053166</v>
      </c>
      <c r="G143" s="7" t="n">
        <f aca="false">IFERROR(__xludf.dummyfunction("""COMPUTED_VALUE"""),358.2)</f>
        <v>358.2</v>
      </c>
    </row>
    <row r="144" customFormat="false" ht="14.25" hidden="false" customHeight="true" outlineLevel="0" collapsed="false">
      <c r="D144" s="7" t="str">
        <f aca="false">IFERROR(__xludf.dummyfunction("""COMPUTED_VALUE"""),"RG_WF")</f>
        <v>RG_WF</v>
      </c>
      <c r="E144" s="7" t="n">
        <f aca="false">IFERROR(__xludf.dummyfunction("""COMPUTED_VALUE"""),-33.884212)</f>
        <v>-33.884212</v>
      </c>
      <c r="F144" s="7" t="n">
        <f aca="false">IFERROR(__xludf.dummyfunction("""COMPUTED_VALUE"""),24.072755)</f>
        <v>24.072755</v>
      </c>
      <c r="G144" s="7" t="n">
        <f aca="false">IFERROR(__xludf.dummyfunction("""COMPUTED_VALUE"""),360.3)</f>
        <v>360.3</v>
      </c>
    </row>
    <row r="145" customFormat="false" ht="14.25" hidden="false" customHeight="true" outlineLevel="0" collapsed="false">
      <c r="D145" s="7" t="str">
        <f aca="false">IFERROR(__xludf.dummyfunction("""COMPUTED_VALUE"""),"PZM-BR_WV")</f>
        <v>PZM-BR_WV</v>
      </c>
      <c r="E145" s="7" t="n">
        <f aca="false">IFERROR(__xludf.dummyfunction("""COMPUTED_VALUE"""),-33.918867)</f>
        <v>-33.918867</v>
      </c>
      <c r="F145" s="7" t="n">
        <f aca="false">IFERROR(__xludf.dummyfunction("""COMPUTED_VALUE"""),24.208078)</f>
        <v>24.208078</v>
      </c>
      <c r="G145" s="7" t="n">
        <f aca="false">IFERROR(__xludf.dummyfunction("""COMPUTED_VALUE"""),358.4)</f>
        <v>358.4</v>
      </c>
    </row>
    <row r="146" customFormat="false" ht="14.25" hidden="false" customHeight="true" outlineLevel="0" collapsed="false">
      <c r="D146" s="7" t="str">
        <f aca="false">IFERROR(__xludf.dummyfunction("""COMPUTED_VALUE"""),"RV-PT_KG")</f>
        <v>RV-PT_KG</v>
      </c>
      <c r="E146" s="7" t="n">
        <f aca="false">IFERROR(__xludf.dummyfunction("""COMPUTED_VALUE"""),-33.921544)</f>
        <v>-33.921544</v>
      </c>
      <c r="F146" s="7" t="n">
        <f aca="false">IFERROR(__xludf.dummyfunction("""COMPUTED_VALUE"""),24.208673)</f>
        <v>24.208673</v>
      </c>
      <c r="G146" s="7" t="n">
        <f aca="false">IFERROR(__xludf.dummyfunction("""COMPUTED_VALUE"""),263)</f>
        <v>263</v>
      </c>
    </row>
    <row r="147" customFormat="false" ht="14.25" hidden="false" customHeight="true" outlineLevel="0" collapsed="false">
      <c r="D147" s="7" t="str">
        <f aca="false">IFERROR(__xludf.dummyfunction("""COMPUTED_VALUE"""),"RV-PT_KD-US")</f>
        <v>RV-PT_KD-US</v>
      </c>
      <c r="E147" s="7" t="n">
        <f aca="false">IFERROR(__xludf.dummyfunction("""COMPUTED_VALUE"""),-33.912918)</f>
        <v>-33.912918</v>
      </c>
      <c r="F147" s="7" t="n">
        <f aca="false">IFERROR(__xludf.dummyfunction("""COMPUTED_VALUE"""),24.370952)</f>
        <v>24.370952</v>
      </c>
      <c r="G147" s="7" t="n">
        <f aca="false">IFERROR(__xludf.dummyfunction("""COMPUTED_VALUE"""),262.4)</f>
        <v>262.4</v>
      </c>
    </row>
    <row r="148" customFormat="false" ht="14.25" hidden="false" customHeight="true" outlineLevel="0" collapsed="false">
      <c r="D148" s="7" t="str">
        <f aca="false">IFERROR(__xludf.dummyfunction("""COMPUTED_VALUE"""),"RV-PT_KD-DS")</f>
        <v>RV-PT_KD-DS</v>
      </c>
      <c r="E148" s="7" t="n">
        <f aca="false">IFERROR(__xludf.dummyfunction("""COMPUTED_VALUE"""),-33.96037)</f>
        <v>-33.96037</v>
      </c>
      <c r="F148" s="7" t="n">
        <f aca="false">IFERROR(__xludf.dummyfunction("""COMPUTED_VALUE"""),24.483453)</f>
        <v>24.483453</v>
      </c>
      <c r="G148" s="7" t="n">
        <f aca="false">IFERROR(__xludf.dummyfunction("""COMPUTED_VALUE"""),260.2)</f>
        <v>260.2</v>
      </c>
    </row>
    <row r="149" customFormat="false" ht="14.25" hidden="false" customHeight="true" outlineLevel="0" collapsed="false">
      <c r="D149" s="7" t="str">
        <f aca="false">IFERROR(__xludf.dummyfunction("""COMPUTED_VALUE"""),"RV-PT_HV")</f>
        <v>RV-PT_HV</v>
      </c>
      <c r="E149" s="7" t="n">
        <f aca="false">IFERROR(__xludf.dummyfunction("""COMPUTED_VALUE"""),-33.941359)</f>
        <v>-33.941359</v>
      </c>
      <c r="F149" s="7" t="n">
        <f aca="false">IFERROR(__xludf.dummyfunction("""COMPUTED_VALUE"""),24.000809)</f>
        <v>24.000809</v>
      </c>
      <c r="G149" s="7" t="n">
        <f aca="false">IFERROR(__xludf.dummyfunction("""COMPUTED_VALUE"""),182.8)</f>
        <v>182.8</v>
      </c>
    </row>
    <row r="150" customFormat="false" ht="14.25" hidden="false" customHeight="true" outlineLevel="0" collapsed="false">
      <c r="D150" s="7" t="str">
        <f aca="false">IFERROR(__xludf.dummyfunction("""COMPUTED_VALUE"""),"RV-PT_HV-WE")</f>
        <v>RV-PT_HV-WE</v>
      </c>
      <c r="E150" s="7" t="n">
        <f aca="false">IFERROR(__xludf.dummyfunction("""COMPUTED_VALUE"""),-33.862502)</f>
        <v>-33.862502</v>
      </c>
      <c r="F150" s="7" t="n">
        <f aca="false">IFERROR(__xludf.dummyfunction("""COMPUTED_VALUE"""),24.159)</f>
        <v>24.159</v>
      </c>
      <c r="G150" s="7" t="n">
        <f aca="false">IFERROR(__xludf.dummyfunction("""COMPUTED_VALUE"""),184.2)</f>
        <v>184.2</v>
      </c>
    </row>
    <row r="151" customFormat="false" ht="14.25" hidden="false" customHeight="true" outlineLevel="0" collapsed="false">
      <c r="D151" s="7" t="str">
        <f aca="false">IFERROR(__xludf.dummyfunction("""COMPUTED_VALUE"""),"RV-PT_HV-PK")</f>
        <v>RV-PT_HV-PK</v>
      </c>
      <c r="E151" s="7" t="n">
        <f aca="false">IFERROR(__xludf.dummyfunction("""COMPUTED_VALUE"""),-33.910818)</f>
        <v>-33.910818</v>
      </c>
      <c r="F151" s="7" t="n">
        <f aca="false">IFERROR(__xludf.dummyfunction("""COMPUTED_VALUE"""),24.162061)</f>
        <v>24.162061</v>
      </c>
      <c r="G151" s="7" t="n">
        <f aca="false">IFERROR(__xludf.dummyfunction("""COMPUTED_VALUE"""),184.8)</f>
        <v>184.8</v>
      </c>
    </row>
    <row r="152" customFormat="false" ht="14.25" hidden="false" customHeight="true" outlineLevel="0" collapsed="false">
      <c r="D152" s="7" t="str">
        <f aca="false">IFERROR(__xludf.dummyfunction("""COMPUTED_VALUE"""),"RV-PT_WV")</f>
        <v>RV-PT_WV</v>
      </c>
      <c r="E152" s="7" t="n">
        <f aca="false">IFERROR(__xludf.dummyfunction("""COMPUTED_VALUE"""),-33.907586)</f>
        <v>-33.907586</v>
      </c>
      <c r="F152" s="7" t="n">
        <f aca="false">IFERROR(__xludf.dummyfunction("""COMPUTED_VALUE"""),24.370286)</f>
        <v>24.370286</v>
      </c>
      <c r="G152" s="7" t="n">
        <f aca="false">IFERROR(__xludf.dummyfunction("""COMPUTED_VALUE"""),15.267)</f>
        <v>15.267</v>
      </c>
    </row>
    <row r="153" customFormat="false" ht="14.25" hidden="false" customHeight="true" outlineLevel="0" collapsed="false">
      <c r="D153" s="7" t="str">
        <f aca="false">IFERROR(__xludf.dummyfunction("""COMPUTED_VALUE"""),"RV-PT_DR")</f>
        <v>RV-PT_DR</v>
      </c>
      <c r="E153" s="7" t="n">
        <f aca="false">IFERROR(__xludf.dummyfunction("""COMPUTED_VALUE"""),-33.960585)</f>
        <v>-33.960585</v>
      </c>
      <c r="F153" s="7" t="n">
        <f aca="false">IFERROR(__xludf.dummyfunction("""COMPUTED_VALUE"""),24.372165)</f>
        <v>24.372165</v>
      </c>
      <c r="G153" s="7" t="n">
        <f aca="false">IFERROR(__xludf.dummyfunction("""COMPUTED_VALUE"""),41.176)</f>
        <v>41.176</v>
      </c>
    </row>
    <row r="154" customFormat="false" ht="14.25" hidden="false" customHeight="true" outlineLevel="0" collapsed="false">
      <c r="D154" s="7" t="str">
        <f aca="false">IFERROR(__xludf.dummyfunction("""COMPUTED_VALUE"""),"BH_KG-US")</f>
        <v>BH_KG-US</v>
      </c>
      <c r="E154" s="7" t="n">
        <f aca="false">IFERROR(__xludf.dummyfunction("""COMPUTED_VALUE"""),-33.960942)</f>
        <v>-33.960942</v>
      </c>
      <c r="F154" s="7" t="n">
        <f aca="false">IFERROR(__xludf.dummyfunction("""COMPUTED_VALUE"""),24.022283)</f>
        <v>24.022283</v>
      </c>
      <c r="G154" s="7" t="n">
        <f aca="false">IFERROR(__xludf.dummyfunction("""COMPUTED_VALUE"""),34.488)</f>
        <v>34.488</v>
      </c>
    </row>
    <row r="155" customFormat="false" ht="14.25" hidden="false" customHeight="true" outlineLevel="0" collapsed="false">
      <c r="D155" s="7" t="str">
        <f aca="false">IFERROR(__xludf.dummyfunction("""COMPUTED_VALUE"""),"BH_JDT-US")</f>
        <v>BH_JDT-US</v>
      </c>
      <c r="E155" s="7" t="n">
        <f aca="false">IFERROR(__xludf.dummyfunction("""COMPUTED_VALUE"""),-33.869938)</f>
        <v>-33.869938</v>
      </c>
      <c r="F155" s="7" t="n">
        <f aca="false">IFERROR(__xludf.dummyfunction("""COMPUTED_VALUE"""),24.053158)</f>
        <v>24.053158</v>
      </c>
      <c r="G155" s="7" t="n">
        <f aca="false">IFERROR(__xludf.dummyfunction("""COMPUTED_VALUE"""),51.263)</f>
        <v>51.263</v>
      </c>
    </row>
    <row r="156" customFormat="false" ht="14.25" hidden="false" customHeight="true" outlineLevel="0" collapsed="false">
      <c r="D156" s="7" t="str">
        <f aca="false">IFERROR(__xludf.dummyfunction("""COMPUTED_VALUE"""),"BH_JDT-DS")</f>
        <v>BH_JDT-DS</v>
      </c>
      <c r="E156" s="7" t="n">
        <f aca="false">IFERROR(__xludf.dummyfunction("""COMPUTED_VALUE"""),-33.877324)</f>
        <v>-33.877324</v>
      </c>
      <c r="F156" s="7" t="n">
        <f aca="false">IFERROR(__xludf.dummyfunction("""COMPUTED_VALUE"""),24.053681)</f>
        <v>24.053681</v>
      </c>
      <c r="G156" s="7" t="n">
        <f aca="false">IFERROR(__xludf.dummyfunction("""COMPUTED_VALUE"""),64.809)</f>
        <v>64.809</v>
      </c>
    </row>
    <row r="157" customFormat="false" ht="14.25" hidden="false" customHeight="true" outlineLevel="0" collapsed="false">
      <c r="D157" s="7" t="str">
        <f aca="false">IFERROR(__xludf.dummyfunction("""COMPUTED_VALUE"""),"PZM-PT_WV-PL1")</f>
        <v>PZM-PT_WV-PL1</v>
      </c>
      <c r="E157" s="7" t="n">
        <f aca="false">IFERROR(__xludf.dummyfunction("""COMPUTED_VALUE"""),-33.877766)</f>
        <v>-33.877766</v>
      </c>
      <c r="F157" s="7" t="n">
        <f aca="false">IFERROR(__xludf.dummyfunction("""COMPUTED_VALUE"""),24.054152)</f>
        <v>24.054152</v>
      </c>
      <c r="G157" s="7" t="n">
        <f aca="false">IFERROR(__xludf.dummyfunction("""COMPUTED_VALUE"""),51.056)</f>
        <v>51.056</v>
      </c>
    </row>
    <row r="158" customFormat="false" ht="14.25" hidden="false" customHeight="true" outlineLevel="0" collapsed="false">
      <c r="D158" s="7" t="str">
        <f aca="false">IFERROR(__xludf.dummyfunction("""COMPUTED_VALUE"""),"PZM-PT_WV-WT2")</f>
        <v>PZM-PT_WV-WT2</v>
      </c>
      <c r="E158" s="7" t="n">
        <f aca="false">IFERROR(__xludf.dummyfunction("""COMPUTED_VALUE"""),-33.878601)</f>
        <v>-33.878601</v>
      </c>
      <c r="F158" s="7" t="n">
        <f aca="false">IFERROR(__xludf.dummyfunction("""COMPUTED_VALUE"""),24.054716)</f>
        <v>24.054716</v>
      </c>
      <c r="G158" s="7" t="n">
        <f aca="false">IFERROR(__xludf.dummyfunction("""COMPUTED_VALUE"""),52.185)</f>
        <v>52.185</v>
      </c>
    </row>
    <row r="159" customFormat="false" ht="14.25" hidden="false" customHeight="true" outlineLevel="0" collapsed="false">
      <c r="D159" s="7" t="str">
        <f aca="false">IFERROR(__xludf.dummyfunction("""COMPUTED_VALUE"""),"PZM_KG-P16")</f>
        <v>PZM_KG-P16</v>
      </c>
      <c r="E159" s="7" t="n">
        <f aca="false">IFERROR(__xludf.dummyfunction("""COMPUTED_VALUE"""),-33.876967)</f>
        <v>-33.876967</v>
      </c>
      <c r="F159" s="7" t="n">
        <f aca="false">IFERROR(__xludf.dummyfunction("""COMPUTED_VALUE"""),24.056679)</f>
        <v>24.056679</v>
      </c>
      <c r="G159" s="7" t="n">
        <f aca="false">IFERROR(__xludf.dummyfunction("""COMPUTED_VALUE"""),53.98)</f>
        <v>53.98</v>
      </c>
    </row>
    <row r="160" customFormat="false" ht="14.25" hidden="false" customHeight="true" outlineLevel="0" collapsed="false">
      <c r="D160" s="7" t="str">
        <f aca="false">IFERROR(__xludf.dummyfunction("""COMPUTED_VALUE"""),"PZM_KD-P11")</f>
        <v>PZM_KD-P11</v>
      </c>
      <c r="E160" s="7" t="n">
        <f aca="false">IFERROR(__xludf.dummyfunction("""COMPUTED_VALUE"""),-33.877002)</f>
        <v>-33.877002</v>
      </c>
      <c r="F160" s="7" t="n">
        <f aca="false">IFERROR(__xludf.dummyfunction("""COMPUTED_VALUE"""),24.195728)</f>
        <v>24.195728</v>
      </c>
      <c r="G160" s="7" t="n">
        <f aca="false">IFERROR(__xludf.dummyfunction("""COMPUTED_VALUE"""),50.778)</f>
        <v>50.778</v>
      </c>
    </row>
    <row r="161" customFormat="false" ht="14.25" hidden="false" customHeight="true" outlineLevel="0" collapsed="false">
      <c r="D161" s="7" t="str">
        <f aca="false">IFERROR(__xludf.dummyfunction("""COMPUTED_VALUE"""),"PZM_KD-P2")</f>
        <v>PZM_KD-P2</v>
      </c>
      <c r="E161" s="7" t="n">
        <f aca="false">IFERROR(__xludf.dummyfunction("""COMPUTED_VALUE"""),-33.916749)</f>
        <v>-33.916749</v>
      </c>
      <c r="F161" s="7" t="n">
        <f aca="false">IFERROR(__xludf.dummyfunction("""COMPUTED_VALUE"""),24.205817)</f>
        <v>24.205817</v>
      </c>
      <c r="G161" s="7" t="n">
        <f aca="false">IFERROR(__xludf.dummyfunction("""COMPUTED_VALUE"""),51.466)</f>
        <v>51.466</v>
      </c>
    </row>
    <row r="162" customFormat="false" ht="14.25" hidden="false" customHeight="true" outlineLevel="0" collapsed="false">
      <c r="D162" s="7" t="str">
        <f aca="false">IFERROR(__xludf.dummyfunction("""COMPUTED_VALUE"""),"PZM_KD-P12")</f>
        <v>PZM_KD-P12</v>
      </c>
      <c r="E162" s="7" t="n">
        <f aca="false">IFERROR(__xludf.dummyfunction("""COMPUTED_VALUE"""),-33.91851)</f>
        <v>-33.91851</v>
      </c>
      <c r="F162" s="7" t="n">
        <f aca="false">IFERROR(__xludf.dummyfunction("""COMPUTED_VALUE"""),24.205996)</f>
        <v>24.205996</v>
      </c>
      <c r="G162" s="7" t="n">
        <f aca="false">IFERROR(__xludf.dummyfunction("""COMPUTED_VALUE"""),56.979)</f>
        <v>56.979</v>
      </c>
    </row>
    <row r="163" customFormat="false" ht="14.25" hidden="false" customHeight="true" outlineLevel="0" collapsed="false">
      <c r="D163" s="7" t="str">
        <f aca="false">IFERROR(__xludf.dummyfunction("""COMPUTED_VALUE"""),"PZM_KD-P3")</f>
        <v>PZM_KD-P3</v>
      </c>
      <c r="E163" s="7" t="n">
        <f aca="false">IFERROR(__xludf.dummyfunction("""COMPUTED_VALUE"""),-33.919462)</f>
        <v>-33.919462</v>
      </c>
      <c r="F163" s="7" t="n">
        <f aca="false">IFERROR(__xludf.dummyfunction("""COMPUTED_VALUE"""),24.367169)</f>
        <v>24.367169</v>
      </c>
      <c r="G163" s="7" t="n">
        <f aca="false">IFERROR(__xludf.dummyfunction("""COMPUTED_VALUE"""),2023)</f>
        <v>2023</v>
      </c>
    </row>
    <row r="164" customFormat="false" ht="14.25" hidden="false" customHeight="true" outlineLevel="0" collapsed="false">
      <c r="D164" s="7" t="str">
        <f aca="false">IFERROR(__xludf.dummyfunction("""COMPUTED_VALUE"""),"PZM_KD-P4")</f>
        <v>PZM_KD-P4</v>
      </c>
      <c r="E164" s="7" t="n">
        <f aca="false">IFERROR(__xludf.dummyfunction("""COMPUTED_VALUE"""),-33.960537)</f>
        <v>-33.960537</v>
      </c>
      <c r="F164" s="7" t="n">
        <f aca="false">IFERROR(__xludf.dummyfunction("""COMPUTED_VALUE"""),24.367359)</f>
        <v>24.367359</v>
      </c>
      <c r="G164" s="7" t="n">
        <f aca="false">IFERROR(__xludf.dummyfunction("""COMPUTED_VALUE"""),1849)</f>
        <v>1849</v>
      </c>
    </row>
    <row r="165" customFormat="false" ht="14.25" hidden="false" customHeight="true" outlineLevel="0" collapsed="false">
      <c r="D165" s="7" t="str">
        <f aca="false">IFERROR(__xludf.dummyfunction("""COMPUTED_VALUE"""),"PZM_HV-GS1")</f>
        <v>PZM_HV-GS1</v>
      </c>
      <c r="E165" s="7" t="n">
        <f aca="false">IFERROR(__xludf.dummyfunction("""COMPUTED_VALUE"""),-33.959823)</f>
        <v>-33.959823</v>
      </c>
      <c r="F165" s="7" t="n">
        <f aca="false">IFERROR(__xludf.dummyfunction("""COMPUTED_VALUE"""),24.369643)</f>
        <v>24.369643</v>
      </c>
      <c r="G165" s="7" t="n">
        <f aca="false">IFERROR(__xludf.dummyfunction("""COMPUTED_VALUE"""),1847)</f>
        <v>1847</v>
      </c>
    </row>
    <row r="166" customFormat="false" ht="14.25" hidden="false" customHeight="true" outlineLevel="0" collapsed="false">
      <c r="D166" s="7" t="str">
        <f aca="false">IFERROR(__xludf.dummyfunction("""COMPUTED_VALUE"""),"PZM_HV-PL2")</f>
        <v>PZM_HV-PL2</v>
      </c>
      <c r="E166" s="7" t="n">
        <f aca="false">IFERROR(__xludf.dummyfunction("""COMPUTED_VALUE"""),-33.960656)</f>
        <v>-33.960656</v>
      </c>
      <c r="F166" s="7" t="n">
        <f aca="false">IFERROR(__xludf.dummyfunction("""COMPUTED_VALUE"""),24.37207)</f>
        <v>24.37207</v>
      </c>
      <c r="G166" s="7" t="n">
        <f aca="false">IFERROR(__xludf.dummyfunction("""COMPUTED_VALUE"""),2295)</f>
        <v>2295</v>
      </c>
    </row>
    <row r="167" customFormat="false" ht="14.25" hidden="false" customHeight="true" outlineLevel="0" collapsed="false">
      <c r="D167" s="7" t="str">
        <f aca="false">IFERROR(__xludf.dummyfunction("""COMPUTED_VALUE"""),"PZM_HV-PL1")</f>
        <v>PZM_HV-PL1</v>
      </c>
      <c r="E167" s="7" t="n">
        <f aca="false">IFERROR(__xludf.dummyfunction("""COMPUTED_VALUE"""),-33.961227)</f>
        <v>-33.961227</v>
      </c>
      <c r="F167" s="7" t="n">
        <f aca="false">IFERROR(__xludf.dummyfunction("""COMPUTED_VALUE"""),32.480472)</f>
        <v>32.480472</v>
      </c>
      <c r="G167" s="7" t="n">
        <f aca="false">IFERROR(__xludf.dummyfunction("""COMPUTED_VALUE"""),1977)</f>
        <v>1977</v>
      </c>
    </row>
    <row r="168" customFormat="false" ht="14.25" hidden="false" customHeight="true" outlineLevel="0" collapsed="false">
      <c r="D168" s="7" t="str">
        <f aca="false">IFERROR(__xludf.dummyfunction("""COMPUTED_VALUE"""),"PZM_WV-GS2")</f>
        <v>PZM_WV-GS2</v>
      </c>
      <c r="E168" s="7" t="n">
        <f aca="false">IFERROR(__xludf.dummyfunction("""COMPUTED_VALUE"""),-33.960989)</f>
        <v>-33.960989</v>
      </c>
      <c r="F168" s="7" t="n">
        <f aca="false">IFERROR(__xludf.dummyfunction("""COMPUTED_VALUE"""),32.51606)</f>
        <v>32.51606</v>
      </c>
      <c r="G168" s="7" t="n">
        <f aca="false">IFERROR(__xludf.dummyfunction("""COMPUTED_VALUE"""),1882)</f>
        <v>1882</v>
      </c>
    </row>
    <row r="169" customFormat="false" ht="14.25" hidden="false" customHeight="true" outlineLevel="0" collapsed="false">
      <c r="D169" s="7" t="str">
        <f aca="false">IFERROR(__xludf.dummyfunction("""COMPUTED_VALUE"""),"PZM_WV-GS1")</f>
        <v>PZM_WV-GS1</v>
      </c>
      <c r="E169" s="7" t="n">
        <f aca="false">IFERROR(__xludf.dummyfunction("""COMPUTED_VALUE"""),-28.26735)</f>
        <v>-28.26735</v>
      </c>
      <c r="F169" s="7" t="n">
        <f aca="false">IFERROR(__xludf.dummyfunction("""COMPUTED_VALUE"""),32.507)</f>
        <v>32.507</v>
      </c>
      <c r="G169" s="7" t="n">
        <f aca="false">IFERROR(__xludf.dummyfunction("""COMPUTED_VALUE"""),2188)</f>
        <v>2188</v>
      </c>
    </row>
    <row r="170" customFormat="false" ht="14.25" hidden="false" customHeight="true" outlineLevel="0" collapsed="false">
      <c r="D170" s="7" t="str">
        <f aca="false">IFERROR(__xludf.dummyfunction("""COMPUTED_VALUE"""),"PZM_WV-PL2")</f>
        <v>PZM_WV-PL2</v>
      </c>
      <c r="E170" s="7" t="n">
        <f aca="false">IFERROR(__xludf.dummyfunction("""COMPUTED_VALUE"""),-28.17401)</f>
        <v>-28.17401</v>
      </c>
      <c r="F170" s="7" t="n">
        <f aca="false">IFERROR(__xludf.dummyfunction("""COMPUTED_VALUE"""),32.535803)</f>
        <v>32.535803</v>
      </c>
      <c r="G170" s="7" t="n">
        <f aca="false">IFERROR(__xludf.dummyfunction("""COMPUTED_VALUE"""),1970)</f>
        <v>1970</v>
      </c>
    </row>
    <row r="171" customFormat="false" ht="14.25" hidden="false" customHeight="true" outlineLevel="0" collapsed="false">
      <c r="D171" s="7" t="str">
        <f aca="false">IFERROR(__xludf.dummyfunction("""COMPUTED_VALUE"""),"PZM_WV-WT1")</f>
        <v>PZM_WV-WT1</v>
      </c>
      <c r="E171" s="7" t="n">
        <f aca="false">IFERROR(__xludf.dummyfunction("""COMPUTED_VALUE"""),-28.11767)</f>
        <v>-28.11767</v>
      </c>
      <c r="F171" s="7" t="n">
        <f aca="false">IFERROR(__xludf.dummyfunction("""COMPUTED_VALUE"""),32.49012)</f>
        <v>32.49012</v>
      </c>
      <c r="G171" s="7" t="n">
        <f aca="false">IFERROR(__xludf.dummyfunction("""COMPUTED_VALUE"""),1866)</f>
        <v>1866</v>
      </c>
    </row>
    <row r="172" customFormat="false" ht="14.25" hidden="false" customHeight="true" outlineLevel="0" collapsed="false">
      <c r="D172" s="7" t="str">
        <f aca="false">IFERROR(__xludf.dummyfunction("""COMPUTED_VALUE"""),"PZM_WV-WT3")</f>
        <v>PZM_WV-WT3</v>
      </c>
      <c r="E172" s="7" t="n">
        <f aca="false">IFERROR(__xludf.dummyfunction("""COMPUTED_VALUE"""),-28.17358)</f>
        <v>-28.17358</v>
      </c>
      <c r="F172" s="7" t="n">
        <f aca="false">IFERROR(__xludf.dummyfunction("""COMPUTED_VALUE"""),32.50609)</f>
        <v>32.50609</v>
      </c>
      <c r="G172" s="7" t="n">
        <f aca="false">IFERROR(__xludf.dummyfunction("""COMPUTED_VALUE"""),2143)</f>
        <v>2143</v>
      </c>
    </row>
    <row r="173" customFormat="false" ht="14.25" hidden="false" customHeight="true" outlineLevel="0" collapsed="false">
      <c r="D173" s="7" t="str">
        <f aca="false">IFERROR(__xludf.dummyfunction("""COMPUTED_VALUE"""),"BARO_St Lucia EKZNW main office")</f>
        <v>BARO_St Lucia EKZNW main office</v>
      </c>
      <c r="E173" s="7" t="n">
        <f aca="false">IFERROR(__xludf.dummyfunction("""COMPUTED_VALUE"""),-28.21999)</f>
        <v>-28.21999</v>
      </c>
      <c r="F173" s="7" t="n">
        <f aca="false">IFERROR(__xludf.dummyfunction("""COMPUTED_VALUE"""),32.51346)</f>
        <v>32.51346</v>
      </c>
      <c r="G173" s="7" t="n">
        <f aca="false">IFERROR(__xludf.dummyfunction("""COMPUTED_VALUE"""),1957)</f>
        <v>1957</v>
      </c>
    </row>
    <row r="174" customFormat="false" ht="14.25" hidden="false" customHeight="true" outlineLevel="0" collapsed="false">
      <c r="D174" s="7" t="str">
        <f aca="false">IFERROR(__xludf.dummyfunction("""COMPUTED_VALUE"""),"C2 PLG")</f>
        <v>C2 PLG</v>
      </c>
      <c r="E174" s="7" t="n">
        <f aca="false">IFERROR(__xludf.dummyfunction("""COMPUTED_VALUE"""),-28.14432)</f>
        <v>-28.14432</v>
      </c>
      <c r="F174" s="7" t="n">
        <f aca="false">IFERROR(__xludf.dummyfunction("""COMPUTED_VALUE"""),32.411947)</f>
        <v>32.411947</v>
      </c>
      <c r="G174" s="7" t="n">
        <f aca="false">IFERROR(__xludf.dummyfunction("""COMPUTED_VALUE"""),1858)</f>
        <v>1858</v>
      </c>
    </row>
    <row r="175" customFormat="false" ht="14.25" hidden="false" customHeight="true" outlineLevel="0" collapsed="false">
      <c r="D175" s="7" t="str">
        <f aca="false">IFERROR(__xludf.dummyfunction("""COMPUTED_VALUE"""),"D3 PLG")</f>
        <v>D3 PLG</v>
      </c>
      <c r="E175" s="7" t="n">
        <f aca="false">IFERROR(__xludf.dummyfunction("""COMPUTED_VALUE"""),-28.18136)</f>
        <v>-28.18136</v>
      </c>
      <c r="F175" s="7" t="n">
        <f aca="false">IFERROR(__xludf.dummyfunction("""COMPUTED_VALUE"""),32.63241)</f>
        <v>32.63241</v>
      </c>
      <c r="G175" s="7" t="n">
        <f aca="false">IFERROR(__xludf.dummyfunction("""COMPUTED_VALUE"""),2063)</f>
        <v>2063</v>
      </c>
    </row>
    <row r="176" customFormat="false" ht="14.25" hidden="false" customHeight="true" outlineLevel="0" collapsed="false">
      <c r="D176" s="7" t="str">
        <f aca="false">IFERROR(__xludf.dummyfunction("""COMPUTED_VALUE"""),"DWAF A2")</f>
        <v>DWAF A2</v>
      </c>
      <c r="E176" s="7" t="n">
        <f aca="false">IFERROR(__xludf.dummyfunction("""COMPUTED_VALUE"""),-28.383027)</f>
        <v>-28.383027</v>
      </c>
      <c r="F176" s="7" t="n">
        <f aca="false">IFERROR(__xludf.dummyfunction("""COMPUTED_VALUE"""),32.56673)</f>
        <v>32.56673</v>
      </c>
      <c r="G176" s="7" t="n">
        <f aca="false">IFERROR(__xludf.dummyfunction("""COMPUTED_VALUE"""),1923)</f>
        <v>1923</v>
      </c>
    </row>
    <row r="177" customFormat="false" ht="14.25" hidden="false" customHeight="true" outlineLevel="0" collapsed="false">
      <c r="D177" s="7" t="str">
        <f aca="false">IFERROR(__xludf.dummyfunction("""COMPUTED_VALUE"""),"ELEPHANT BOMA")</f>
        <v>ELEPHANT BOMA</v>
      </c>
      <c r="E177" s="7" t="n">
        <f aca="false">IFERROR(__xludf.dummyfunction("""COMPUTED_VALUE"""),-27.45294)</f>
        <v>-27.45294</v>
      </c>
      <c r="F177" s="7" t="n">
        <f aca="false">IFERROR(__xludf.dummyfunction("""COMPUTED_VALUE"""),32.68564718)</f>
        <v>32.68564718</v>
      </c>
      <c r="G177" s="7" t="n">
        <f aca="false">IFERROR(__xludf.dummyfunction("""COMPUTED_VALUE"""),1980)</f>
        <v>1980</v>
      </c>
    </row>
    <row r="178" customFormat="false" ht="14.25" hidden="false" customHeight="true" outlineLevel="0" collapsed="false">
      <c r="D178" s="7" t="str">
        <f aca="false">IFERROR(__xludf.dummyfunction("""COMPUTED_VALUE"""),"MFS1 PLG")</f>
        <v>MFS1 PLG</v>
      </c>
      <c r="E178" s="7" t="n">
        <f aca="false">IFERROR(__xludf.dummyfunction("""COMPUTED_VALUE"""),-27.4095)</f>
        <v>-27.4095</v>
      </c>
      <c r="F178" s="7" t="n">
        <f aca="false">IFERROR(__xludf.dummyfunction("""COMPUTED_VALUE"""),32.7094)</f>
        <v>32.7094</v>
      </c>
      <c r="G178" s="7" t="n">
        <f aca="false">IFERROR(__xludf.dummyfunction("""COMPUTED_VALUE"""),1916)</f>
        <v>1916</v>
      </c>
    </row>
    <row r="179" customFormat="false" ht="14.25" hidden="false" customHeight="true" outlineLevel="0" collapsed="false">
      <c r="D179" s="7" t="str">
        <f aca="false">IFERROR(__xludf.dummyfunction("""COMPUTED_VALUE"""),"WETLAND PLG")</f>
        <v>WETLAND PLG</v>
      </c>
      <c r="E179" s="7" t="n">
        <f aca="false">IFERROR(__xludf.dummyfunction("""COMPUTED_VALUE"""),-27.42265171)</f>
        <v>-27.42265171</v>
      </c>
      <c r="F179" s="7" t="n">
        <f aca="false">IFERROR(__xludf.dummyfunction("""COMPUTED_VALUE"""),32.70939)</f>
        <v>32.70939</v>
      </c>
      <c r="G179" s="7" t="n">
        <f aca="false">IFERROR(__xludf.dummyfunction("""COMPUTED_VALUE"""),1854)</f>
        <v>1854</v>
      </c>
    </row>
    <row r="180" customFormat="false" ht="14.25" hidden="false" customHeight="true" outlineLevel="0" collapsed="false">
      <c r="D180" s="7" t="str">
        <f aca="false">IFERROR(__xludf.dummyfunction("""COMPUTED_VALUE"""),"EKZNW main office")</f>
        <v>EKZNW main office</v>
      </c>
      <c r="E180" s="7" t="n">
        <f aca="false">IFERROR(__xludf.dummyfunction("""COMPUTED_VALUE"""),-27.41656)</f>
        <v>-27.41656</v>
      </c>
      <c r="F180" s="7" t="n">
        <f aca="false">IFERROR(__xludf.dummyfunction("""COMPUTED_VALUE"""),32.7107)</f>
        <v>32.7107</v>
      </c>
      <c r="G180" s="7" t="n">
        <f aca="false">IFERROR(__xludf.dummyfunction("""COMPUTED_VALUE"""),1921)</f>
        <v>1921</v>
      </c>
    </row>
    <row r="181" customFormat="false" ht="14.25" hidden="false" customHeight="true" outlineLevel="0" collapsed="false">
      <c r="D181" s="7" t="str">
        <f aca="false">IFERROR(__xludf.dummyfunction("""COMPUTED_VALUE"""),"MB01")</f>
        <v>MB01</v>
      </c>
      <c r="E181" s="7" t="n">
        <f aca="false">IFERROR(__xludf.dummyfunction("""COMPUTED_VALUE"""),-27.41655)</f>
        <v>-27.41655</v>
      </c>
      <c r="F181" s="7" t="n">
        <f aca="false">IFERROR(__xludf.dummyfunction("""COMPUTED_VALUE"""),32.69815)</f>
        <v>32.69815</v>
      </c>
      <c r="G181" s="7" t="n">
        <f aca="false">IFERROR(__xludf.dummyfunction("""COMPUTED_VALUE"""),1888)</f>
        <v>1888</v>
      </c>
    </row>
    <row r="182" customFormat="false" ht="14.25" hidden="false" customHeight="true" outlineLevel="0" collapsed="false">
      <c r="D182" s="7" t="str">
        <f aca="false">IFERROR(__xludf.dummyfunction("""COMPUTED_VALUE"""),"MABASA_DWAS")</f>
        <v>MABASA_DWAS</v>
      </c>
      <c r="E182" s="7" t="n">
        <f aca="false">IFERROR(__xludf.dummyfunction("""COMPUTED_VALUE"""),-27.32747)</f>
        <v>-27.32747</v>
      </c>
      <c r="F182" s="7" t="n">
        <f aca="false">IFERROR(__xludf.dummyfunction("""COMPUTED_VALUE"""),32.69811)</f>
        <v>32.69811</v>
      </c>
      <c r="G182" s="7" t="n">
        <f aca="false">IFERROR(__xludf.dummyfunction("""COMPUTED_VALUE"""),1966)</f>
        <v>1966</v>
      </c>
    </row>
    <row r="183" customFormat="false" ht="14.25" hidden="false" customHeight="true" outlineLevel="0" collapsed="false">
      <c r="D183" s="7" t="str">
        <f aca="false">IFERROR(__xludf.dummyfunction("""COMPUTED_VALUE"""),"BARO_CAMP")</f>
        <v>BARO_CAMP</v>
      </c>
      <c r="E183" s="7" t="n">
        <f aca="false">IFERROR(__xludf.dummyfunction("""COMPUTED_VALUE"""),-27.42091)</f>
        <v>-27.42091</v>
      </c>
      <c r="F183" s="7" t="n">
        <f aca="false">IFERROR(__xludf.dummyfunction("""COMPUTED_VALUE"""),32.71206)</f>
        <v>32.71206</v>
      </c>
      <c r="G183" s="7" t="n">
        <f aca="false">IFERROR(__xludf.dummyfunction("""COMPUTED_VALUE"""),1900)</f>
        <v>1900</v>
      </c>
    </row>
    <row r="184" customFormat="false" ht="14.25" hidden="false" customHeight="true" outlineLevel="0" collapsed="false">
      <c r="D184" s="7" t="str">
        <f aca="false">IFERROR(__xludf.dummyfunction("""COMPUTED_VALUE"""),"CF01A__ltc")</f>
        <v>CF01A__ltc</v>
      </c>
      <c r="E184" s="7" t="n">
        <f aca="false">IFERROR(__xludf.dummyfunction("""COMPUTED_VALUE"""),-27.29523)</f>
        <v>-27.29523</v>
      </c>
      <c r="F184" s="7" t="n">
        <f aca="false">IFERROR(__xludf.dummyfunction("""COMPUTED_VALUE"""),32.71203)</f>
        <v>32.71203</v>
      </c>
      <c r="G184" s="7" t="n">
        <f aca="false">IFERROR(__xludf.dummyfunction("""COMPUTED_VALUE"""),1830)</f>
        <v>1830</v>
      </c>
    </row>
    <row r="185" customFormat="false" ht="14.25" hidden="false" customHeight="true" outlineLevel="0" collapsed="false">
      <c r="D185" s="7" t="str">
        <f aca="false">IFERROR(__xludf.dummyfunction("""COMPUTED_VALUE"""),"CF01B")</f>
        <v>CF01B</v>
      </c>
      <c r="E185" s="7" t="n">
        <f aca="false">IFERROR(__xludf.dummyfunction("""COMPUTED_VALUE"""),-27.29526)</f>
        <v>-27.29526</v>
      </c>
      <c r="F185" s="7" t="n">
        <f aca="false">IFERROR(__xludf.dummyfunction("""COMPUTED_VALUE"""),32.66628)</f>
        <v>32.66628</v>
      </c>
      <c r="G185" s="7" t="n">
        <f aca="false">IFERROR(__xludf.dummyfunction("""COMPUTED_VALUE"""),1222)</f>
        <v>1222</v>
      </c>
    </row>
    <row r="186" customFormat="false" ht="14.25" hidden="false" customHeight="true" outlineLevel="0" collapsed="false">
      <c r="D186" s="7" t="str">
        <f aca="false">IFERROR(__xludf.dummyfunction("""COMPUTED_VALUE"""),"EAST")</f>
        <v>EAST</v>
      </c>
      <c r="E186" s="7" t="n">
        <f aca="false">IFERROR(__xludf.dummyfunction("""COMPUTED_VALUE"""),-27.41875)</f>
        <v>-27.41875</v>
      </c>
      <c r="F186" s="7" t="n">
        <f aca="false">IFERROR(__xludf.dummyfunction("""COMPUTED_VALUE"""),32.69785)</f>
        <v>32.69785</v>
      </c>
      <c r="G186" s="7" t="n">
        <f aca="false">IFERROR(__xludf.dummyfunction("""COMPUTED_VALUE"""),1969)</f>
        <v>1969</v>
      </c>
    </row>
    <row r="187" customFormat="false" ht="14.25" hidden="false" customHeight="true" outlineLevel="0" collapsed="false">
      <c r="D187" s="7" t="str">
        <f aca="false">IFERROR(__xludf.dummyfunction("""COMPUTED_VALUE"""),"SG01A")</f>
        <v>SG01A</v>
      </c>
      <c r="E187" s="7" t="n">
        <f aca="false">IFERROR(__xludf.dummyfunction("""COMPUTED_VALUE"""),-27.41813)</f>
        <v>-27.41813</v>
      </c>
      <c r="F187" s="7" t="n">
        <f aca="false">IFERROR(__xludf.dummyfunction("""COMPUTED_VALUE"""),32.6041)</f>
        <v>32.6041</v>
      </c>
      <c r="G187" s="7" t="n">
        <f aca="false">IFERROR(__xludf.dummyfunction("""COMPUTED_VALUE"""),1932)</f>
        <v>1932</v>
      </c>
    </row>
    <row r="188" customFormat="false" ht="14.25" hidden="false" customHeight="true" outlineLevel="0" collapsed="false">
      <c r="D188" s="7" t="str">
        <f aca="false">IFERROR(__xludf.dummyfunction("""COMPUTED_VALUE"""),"SG01B")</f>
        <v>SG01B</v>
      </c>
      <c r="E188" s="7" t="n">
        <f aca="false">IFERROR(__xludf.dummyfunction("""COMPUTED_VALUE"""),-27.08733)</f>
        <v>-27.08733</v>
      </c>
      <c r="F188" s="7" t="n">
        <f aca="false">IFERROR(__xludf.dummyfunction("""COMPUTED_VALUE"""),32.661)</f>
        <v>32.661</v>
      </c>
      <c r="G188" s="7" t="n">
        <f aca="false">IFERROR(__xludf.dummyfunction("""COMPUTED_VALUE"""),1902)</f>
        <v>1902</v>
      </c>
    </row>
    <row r="189" customFormat="false" ht="14.25" hidden="false" customHeight="true" outlineLevel="0" collapsed="false">
      <c r="D189" s="7" t="str">
        <f aca="false">IFERROR(__xludf.dummyfunction("""COMPUTED_VALUE"""),"SIB01A")</f>
        <v>SIB01A</v>
      </c>
      <c r="E189" s="7" t="n">
        <f aca="false">IFERROR(__xludf.dummyfunction("""COMPUTED_VALUE"""),-27.50457)</f>
        <v>-27.50457</v>
      </c>
      <c r="F189" s="7" t="n">
        <f aca="false">IFERROR(__xludf.dummyfunction("""COMPUTED_VALUE"""),32.718099)</f>
        <v>32.718099</v>
      </c>
      <c r="G189" s="7" t="n">
        <f aca="false">IFERROR(__xludf.dummyfunction("""COMPUTED_VALUE"""),1909)</f>
        <v>1909</v>
      </c>
    </row>
    <row r="190" customFormat="false" ht="14.25" hidden="false" customHeight="true" outlineLevel="0" collapsed="false">
      <c r="D190" s="7" t="str">
        <f aca="false">IFERROR(__xludf.dummyfunction("""COMPUTED_VALUE"""),"SIB01B")</f>
        <v>SIB01B</v>
      </c>
      <c r="E190" s="7" t="n">
        <f aca="false">IFERROR(__xludf.dummyfunction("""COMPUTED_VALUE"""),-27.178043)</f>
        <v>-27.178043</v>
      </c>
      <c r="F190" s="7" t="n">
        <f aca="false">IFERROR(__xludf.dummyfunction("""COMPUTED_VALUE"""),32.719855)</f>
        <v>32.719855</v>
      </c>
      <c r="G190" s="7" t="n">
        <f aca="false">IFERROR(__xludf.dummyfunction("""COMPUTED_VALUE"""),1922)</f>
        <v>1922</v>
      </c>
    </row>
    <row r="191" customFormat="false" ht="14.25" hidden="false" customHeight="true" outlineLevel="0" collapsed="false">
      <c r="D191" s="7" t="str">
        <f aca="false">IFERROR(__xludf.dummyfunction("""COMPUTED_VALUE"""),"SIB02")</f>
        <v>SIB02</v>
      </c>
      <c r="E191" s="7" t="n">
        <f aca="false">IFERROR(__xludf.dummyfunction("""COMPUTED_VALUE"""),-27.178955)</f>
        <v>-27.178955</v>
      </c>
      <c r="F191" s="7" t="n">
        <f aca="false">IFERROR(__xludf.dummyfunction("""COMPUTED_VALUE"""),32.71414)</f>
        <v>32.71414</v>
      </c>
      <c r="G191" s="7" t="n">
        <f aca="false">IFERROR(__xludf.dummyfunction("""COMPUTED_VALUE"""),1860)</f>
        <v>1860</v>
      </c>
    </row>
    <row r="192" customFormat="false" ht="14.25" hidden="false" customHeight="true" outlineLevel="0" collapsed="false">
      <c r="D192" s="7" t="str">
        <f aca="false">IFERROR(__xludf.dummyfunction("""COMPUTED_VALUE"""),"SOUTH")</f>
        <v>SOUTH</v>
      </c>
      <c r="E192" s="7" t="n">
        <f aca="false">IFERROR(__xludf.dummyfunction("""COMPUTED_VALUE"""),-27.16434)</f>
        <v>-27.16434</v>
      </c>
      <c r="F192" s="7" t="n">
        <f aca="false">IFERROR(__xludf.dummyfunction("""COMPUTED_VALUE"""),32.712759)</f>
        <v>32.712759</v>
      </c>
      <c r="G192" s="7" t="n">
        <f aca="false">IFERROR(__xludf.dummyfunction("""COMPUTED_VALUE"""),1935)</f>
        <v>1935</v>
      </c>
    </row>
    <row r="193" customFormat="false" ht="14.25" hidden="false" customHeight="true" outlineLevel="0" collapsed="false">
      <c r="D193" s="7" t="str">
        <f aca="false">IFERROR(__xludf.dummyfunction("""COMPUTED_VALUE"""),"SILEZA CAMP")</f>
        <v>SILEZA CAMP</v>
      </c>
      <c r="E193" s="7" t="n">
        <f aca="false">IFERROR(__xludf.dummyfunction("""COMPUTED_VALUE"""),-27.162129)</f>
        <v>-27.162129</v>
      </c>
      <c r="F193" s="7" t="n">
        <f aca="false">IFERROR(__xludf.dummyfunction("""COMPUTED_VALUE"""),32.705045)</f>
        <v>32.705045</v>
      </c>
      <c r="G193" s="7" t="n">
        <f aca="false">IFERROR(__xludf.dummyfunction("""COMPUTED_VALUE"""),3010)</f>
        <v>3010</v>
      </c>
    </row>
    <row r="194" customFormat="false" ht="14.25" hidden="false" customHeight="true" outlineLevel="0" collapsed="false">
      <c r="D194" s="7" t="str">
        <f aca="false">IFERROR(__xludf.dummyfunction("""COMPUTED_VALUE"""),"BAY LODGE")</f>
        <v>BAY LODGE</v>
      </c>
      <c r="E194" s="7" t="n">
        <f aca="false">IFERROR(__xludf.dummyfunction("""COMPUTED_VALUE"""),-27.184293)</f>
        <v>-27.184293</v>
      </c>
      <c r="F194" s="7" t="n">
        <f aca="false">IFERROR(__xludf.dummyfunction("""COMPUTED_VALUE"""),32.704757)</f>
        <v>32.704757</v>
      </c>
      <c r="G194" s="7" t="n">
        <f aca="false">IFERROR(__xludf.dummyfunction("""COMPUTED_VALUE"""),1367)</f>
        <v>1367</v>
      </c>
    </row>
    <row r="195" customFormat="false" ht="14.25" hidden="false" customHeight="true" outlineLevel="0" collapsed="false">
      <c r="D195" s="7" t="str">
        <f aca="false">IFERROR(__xludf.dummyfunction("""COMPUTED_VALUE"""),"A3")</f>
        <v>A3</v>
      </c>
      <c r="E195" s="7" t="n">
        <f aca="false">IFERROR(__xludf.dummyfunction("""COMPUTED_VALUE"""),-27.184273)</f>
        <v>-27.184273</v>
      </c>
      <c r="F195" s="7" t="n">
        <f aca="false">IFERROR(__xludf.dummyfunction("""COMPUTED_VALUE"""),32.713983)</f>
        <v>32.713983</v>
      </c>
      <c r="G195" s="7" t="n">
        <f aca="false">IFERROR(__xludf.dummyfunction("""COMPUTED_VALUE"""),1376)</f>
        <v>1376</v>
      </c>
    </row>
    <row r="196" customFormat="false" ht="14.25" hidden="false" customHeight="true" outlineLevel="0" collapsed="false">
      <c r="D196" s="7" t="str">
        <f aca="false">IFERROR(__xludf.dummyfunction("""COMPUTED_VALUE"""),"A5")</f>
        <v>A5</v>
      </c>
      <c r="E196" s="7" t="n">
        <f aca="false">IFERROR(__xludf.dummyfunction("""COMPUTED_VALUE"""),-27.164693)</f>
        <v>-27.164693</v>
      </c>
      <c r="F196" s="7" t="n">
        <f aca="false">IFERROR(__xludf.dummyfunction("""COMPUTED_VALUE"""),32.68552)</f>
        <v>32.68552</v>
      </c>
      <c r="G196" s="7" t="n">
        <f aca="false">IFERROR(__xludf.dummyfunction("""COMPUTED_VALUE"""),1832)</f>
        <v>1832</v>
      </c>
    </row>
    <row r="197" customFormat="false" ht="14.25" hidden="false" customHeight="true" outlineLevel="0" collapsed="false">
      <c r="D197" s="7" t="str">
        <f aca="false">IFERROR(__xludf.dummyfunction("""COMPUTED_VALUE"""),"BARO_SCIENCE CENTRE")</f>
        <v>BARO_SCIENCE CENTRE</v>
      </c>
      <c r="E197" s="7" t="n">
        <f aca="false">IFERROR(__xludf.dummyfunction("""COMPUTED_VALUE"""),-27.42287)</f>
        <v>-27.42287</v>
      </c>
      <c r="F197" s="7" t="n">
        <f aca="false">IFERROR(__xludf.dummyfunction("""COMPUTED_VALUE"""),32.62711)</f>
        <v>32.62711</v>
      </c>
      <c r="G197" s="7" t="n">
        <f aca="false">IFERROR(__xludf.dummyfunction("""COMPUTED_VALUE"""),1850)</f>
        <v>1850</v>
      </c>
    </row>
    <row r="198" customFormat="false" ht="14.25" hidden="false" customHeight="true" outlineLevel="0" collapsed="false">
      <c r="D198" s="7" t="str">
        <f aca="false">IFERROR(__xludf.dummyfunction("""COMPUTED_VALUE"""),"BUKHOSINI")</f>
        <v>BUKHOSINI</v>
      </c>
      <c r="E198" s="7" t="n">
        <f aca="false">IFERROR(__xludf.dummyfunction("""COMPUTED_VALUE"""),-27.20263)</f>
        <v>-27.20263</v>
      </c>
      <c r="F198" s="7" t="n">
        <f aca="false">IFERROR(__xludf.dummyfunction("""COMPUTED_VALUE"""),32.716635)</f>
        <v>32.716635</v>
      </c>
      <c r="G198" s="7" t="n">
        <f aca="false">IFERROR(__xludf.dummyfunction("""COMPUTED_VALUE"""),1857)</f>
        <v>1857</v>
      </c>
    </row>
    <row r="199" customFormat="false" ht="14.25" hidden="false" customHeight="true" outlineLevel="0" collapsed="false">
      <c r="D199" s="7" t="str">
        <f aca="false">IFERROR(__xludf.dummyfunction("""COMPUTED_VALUE"""),"BURNT LOWER")</f>
        <v>BURNT LOWER</v>
      </c>
      <c r="E199" s="7" t="n">
        <f aca="false">IFERROR(__xludf.dummyfunction("""COMPUTED_VALUE"""),-27.175159)</f>
        <v>-27.175159</v>
      </c>
      <c r="F199" s="7" t="n">
        <f aca="false">IFERROR(__xludf.dummyfunction("""COMPUTED_VALUE"""),32.717184)</f>
        <v>32.717184</v>
      </c>
      <c r="G199" s="7" t="n">
        <f aca="false">IFERROR(__xludf.dummyfunction("""COMPUTED_VALUE"""),335)</f>
        <v>335</v>
      </c>
    </row>
    <row r="200" customFormat="false" ht="14.25" hidden="false" customHeight="true" outlineLevel="0" collapsed="false">
      <c r="D200" s="7" t="str">
        <f aca="false">IFERROR(__xludf.dummyfunction("""COMPUTED_VALUE"""),"BURNT UPPER")</f>
        <v>BURNT UPPER</v>
      </c>
      <c r="E200" s="7" t="n">
        <f aca="false">IFERROR(__xludf.dummyfunction("""COMPUTED_VALUE"""),-27.175245)</f>
        <v>-27.175245</v>
      </c>
      <c r="F200" s="7" t="n">
        <f aca="false">IFERROR(__xludf.dummyfunction("""COMPUTED_VALUE"""),32.716928)</f>
        <v>32.716928</v>
      </c>
      <c r="G200" s="7" t="n">
        <f aca="false">IFERROR(__xludf.dummyfunction("""COMPUTED_VALUE"""),515)</f>
        <v>515</v>
      </c>
    </row>
    <row r="201" customFormat="false" ht="14.25" hidden="false" customHeight="true" outlineLevel="0" collapsed="false">
      <c r="D201" s="7" t="str">
        <f aca="false">IFERROR(__xludf.dummyfunction("""COMPUTED_VALUE"""),"Science Centre AWS")</f>
        <v>Science Centre AWS</v>
      </c>
      <c r="E201" s="7" t="n">
        <f aca="false">IFERROR(__xludf.dummyfunction("""COMPUTED_VALUE"""),-27.175199)</f>
        <v>-27.175199</v>
      </c>
      <c r="F201" s="7" t="n">
        <f aca="false">IFERROR(__xludf.dummyfunction("""COMPUTED_VALUE"""),32.769063)</f>
        <v>32.769063</v>
      </c>
      <c r="G201" s="7" t="n">
        <f aca="false">IFERROR(__xludf.dummyfunction("""COMPUTED_VALUE"""),501)</f>
        <v>501</v>
      </c>
    </row>
    <row r="202" customFormat="false" ht="14.25" hidden="false" customHeight="true" outlineLevel="0" collapsed="false">
      <c r="D202" s="7" t="str">
        <f aca="false">IFERROR(__xludf.dummyfunction("""COMPUTED_VALUE"""),"Sibayi Camp AWS")</f>
        <v>Sibayi Camp AWS</v>
      </c>
      <c r="E202" s="7" t="n">
        <f aca="false">IFERROR(__xludf.dummyfunction("""COMPUTED_VALUE"""),-27.261755)</f>
        <v>-27.261755</v>
      </c>
      <c r="F202" s="7" t="n">
        <f aca="false">IFERROR(__xludf.dummyfunction("""COMPUTED_VALUE"""),32.714355)</f>
        <v>32.714355</v>
      </c>
      <c r="G202" s="7" t="n">
        <f aca="false">IFERROR(__xludf.dummyfunction("""COMPUTED_VALUE"""),440)</f>
        <v>440</v>
      </c>
    </row>
    <row r="203" customFormat="false" ht="14.25" hidden="false" customHeight="true" outlineLevel="0" collapsed="false">
      <c r="D203" s="7" t="str">
        <f aca="false">IFERROR(__xludf.dummyfunction("""COMPUTED_VALUE"""),"Eddy Covariance Flux tower - Macadamia ")</f>
        <v>Eddy Covariance Flux tower - Macadamia </v>
      </c>
      <c r="E203" s="7" t="n">
        <f aca="false">IFERROR(__xludf.dummyfunction("""COMPUTED_VALUE"""),-27.164086)</f>
        <v>-27.164086</v>
      </c>
      <c r="F203" s="7" t="n">
        <f aca="false">IFERROR(__xludf.dummyfunction("""COMPUTED_VALUE"""),32.786989)</f>
        <v>32.786989</v>
      </c>
      <c r="G203" s="7" t="n">
        <f aca="false">IFERROR(__xludf.dummyfunction("""COMPUTED_VALUE"""),1223)</f>
        <v>1223</v>
      </c>
    </row>
    <row r="204" customFormat="false" ht="14.25" hidden="false" customHeight="true" outlineLevel="0" collapsed="false">
      <c r="D204" s="7" t="str">
        <f aca="false">IFERROR(__xludf.dummyfunction("""COMPUTED_VALUE"""),"HPV HIGHER")</f>
        <v>HPV HIGHER</v>
      </c>
      <c r="E204" s="7" t="n">
        <f aca="false">IFERROR(__xludf.dummyfunction("""COMPUTED_VALUE"""),-27.081074)</f>
        <v>-27.081074</v>
      </c>
      <c r="F204" s="7" t="n">
        <f aca="false">IFERROR(__xludf.dummyfunction("""COMPUTED_VALUE"""),32.71494)</f>
        <v>32.71494</v>
      </c>
      <c r="G204" s="7" t="n">
        <f aca="false">IFERROR(__xludf.dummyfunction("""COMPUTED_VALUE"""),1217)</f>
        <v>1217</v>
      </c>
    </row>
    <row r="205" customFormat="false" ht="14.25" hidden="false" customHeight="true" outlineLevel="0" collapsed="false">
      <c r="D205" s="7" t="str">
        <f aca="false">IFERROR(__xludf.dummyfunction("""COMPUTED_VALUE"""),"HPV LOWER")</f>
        <v>HPV LOWER</v>
      </c>
      <c r="E205" s="7" t="n">
        <f aca="false">IFERROR(__xludf.dummyfunction("""COMPUTED_VALUE"""),-27.17745)</f>
        <v>-27.17745</v>
      </c>
      <c r="F205" s="7" t="n">
        <f aca="false">IFERROR(__xludf.dummyfunction("""COMPUTED_VALUE"""),32.60189)</f>
        <v>32.60189</v>
      </c>
      <c r="G205" s="7" t="n">
        <f aca="false">IFERROR(__xludf.dummyfunction("""COMPUTED_VALUE"""),1719)</f>
        <v>1719</v>
      </c>
    </row>
    <row r="206" customFormat="false" ht="14.25" hidden="false" customHeight="true" outlineLevel="0" collapsed="false">
      <c r="D206" s="7" t="str">
        <f aca="false">IFERROR(__xludf.dummyfunction("""COMPUTED_VALUE"""),"HPV MID")</f>
        <v>HPV MID</v>
      </c>
      <c r="E206" s="7" t="n">
        <f aca="false">IFERROR(__xludf.dummyfunction("""COMPUTED_VALUE"""),-27.08975)</f>
        <v>-27.08975</v>
      </c>
      <c r="F206" s="7" t="n">
        <f aca="false">IFERROR(__xludf.dummyfunction("""COMPUTED_VALUE"""),32.70944)</f>
        <v>32.70944</v>
      </c>
      <c r="G206" s="7" t="n">
        <f aca="false">IFERROR(__xludf.dummyfunction("""COMPUTED_VALUE"""),822)</f>
        <v>822</v>
      </c>
    </row>
    <row r="207" customFormat="false" ht="14.25" hidden="false" customHeight="true" outlineLevel="0" collapsed="false">
      <c r="D207" s="7" t="str">
        <f aca="false">IFERROR(__xludf.dummyfunction("""COMPUTED_VALUE"""),"Manzengwenya EKZNW Office")</f>
        <v>Manzengwenya EKZNW Office</v>
      </c>
      <c r="E207" s="7" t="n">
        <f aca="false">IFERROR(__xludf.dummyfunction("""COMPUTED_VALUE"""),-27.08246)</f>
        <v>-27.08246</v>
      </c>
      <c r="F207" s="7" t="n">
        <f aca="false">IFERROR(__xludf.dummyfunction("""COMPUTED_VALUE"""),32.58525)</f>
        <v>32.58525</v>
      </c>
      <c r="G207" s="7" t="n">
        <f aca="false">IFERROR(__xludf.dummyfunction("""COMPUTED_VALUE"""),426)</f>
        <v>426</v>
      </c>
    </row>
    <row r="208" customFormat="false" ht="14.25" hidden="false" customHeight="true" outlineLevel="0" collapsed="false">
      <c r="D208" s="7" t="str">
        <f aca="false">IFERROR(__xludf.dummyfunction("""COMPUTED_VALUE"""),"SCIENCE CENTRE")</f>
        <v>SCIENCE CENTRE</v>
      </c>
      <c r="E208" s="7" t="n">
        <f aca="false">IFERROR(__xludf.dummyfunction("""COMPUTED_VALUE"""),-27.21191)</f>
        <v>-27.21191</v>
      </c>
      <c r="F208" s="7" t="n">
        <f aca="false">IFERROR(__xludf.dummyfunction("""COMPUTED_VALUE"""),32.53601)</f>
        <v>32.53601</v>
      </c>
      <c r="G208" s="7" t="n">
        <f aca="false">IFERROR(__xludf.dummyfunction("""COMPUTED_VALUE"""),1466)</f>
        <v>1466</v>
      </c>
    </row>
    <row r="209" customFormat="false" ht="14.25" hidden="false" customHeight="true" outlineLevel="0" collapsed="false">
      <c r="D209" s="7" t="str">
        <f aca="false">IFERROR(__xludf.dummyfunction("""COMPUTED_VALUE"""),"SIYADLA BRIDGE")</f>
        <v>SIYADLA BRIDGE</v>
      </c>
      <c r="E209" s="7" t="n">
        <f aca="false">IFERROR(__xludf.dummyfunction("""COMPUTED_VALUE"""),-27.21962)</f>
        <v>-27.21962</v>
      </c>
      <c r="F209" s="7" t="n">
        <f aca="false">IFERROR(__xludf.dummyfunction("""COMPUTED_VALUE"""),32.41883)</f>
        <v>32.41883</v>
      </c>
      <c r="G209" s="7" t="n">
        <f aca="false">IFERROR(__xludf.dummyfunction("""COMPUTED_VALUE"""),1459)</f>
        <v>1459</v>
      </c>
    </row>
    <row r="210" customFormat="false" ht="14.25" hidden="false" customHeight="true" outlineLevel="0" collapsed="false">
      <c r="D210" s="7" t="str">
        <f aca="false">IFERROR(__xludf.dummyfunction("""COMPUTED_VALUE"""),"VASI_EUCALYPTUS")</f>
        <v>VASI_EUCALYPTUS</v>
      </c>
      <c r="E210" s="7" t="n">
        <f aca="false">IFERROR(__xludf.dummyfunction("""COMPUTED_VALUE"""),-27.3632)</f>
        <v>-27.3632</v>
      </c>
      <c r="F210" s="7" t="n">
        <f aca="false">IFERROR(__xludf.dummyfunction("""COMPUTED_VALUE"""),32.369063)</f>
        <v>32.369063</v>
      </c>
      <c r="G210" s="7" t="n">
        <f aca="false">IFERROR(__xludf.dummyfunction("""COMPUTED_VALUE"""),1592)</f>
        <v>1592</v>
      </c>
    </row>
    <row r="211" customFormat="false" ht="14.25" hidden="false" customHeight="true" outlineLevel="0" collapsed="false">
      <c r="D211" s="7" t="str">
        <f aca="false">IFERROR(__xludf.dummyfunction("""COMPUTED_VALUE"""),"Sileza ")</f>
        <v>Sileza </v>
      </c>
      <c r="E211" s="7" t="n">
        <f aca="false">IFERROR(__xludf.dummyfunction("""COMPUTED_VALUE"""),-28.19145)</f>
        <v>-28.19145</v>
      </c>
      <c r="F211" s="7" t="n">
        <f aca="false">IFERROR(__xludf.dummyfunction("""COMPUTED_VALUE"""),32.371807)</f>
        <v>32.371807</v>
      </c>
      <c r="G211" s="7" t="n">
        <f aca="false">IFERROR(__xludf.dummyfunction("""COMPUTED_VALUE"""),1314)</f>
        <v>1314</v>
      </c>
    </row>
    <row r="212" customFormat="false" ht="14.25" hidden="false" customHeight="true" outlineLevel="0" collapsed="false">
      <c r="D212" s="7" t="str">
        <f aca="false">IFERROR(__xludf.dummyfunction("""COMPUTED_VALUE"""),"Siyadla ")</f>
        <v>Siyadla </v>
      </c>
      <c r="E212" s="7" t="n">
        <f aca="false">IFERROR(__xludf.dummyfunction("""COMPUTED_VALUE"""),-28.16743)</f>
        <v>-28.16743</v>
      </c>
      <c r="F212" s="7" t="n">
        <f aca="false">IFERROR(__xludf.dummyfunction("""COMPUTED_VALUE"""),32.379655)</f>
        <v>32.379655</v>
      </c>
      <c r="G212" s="7" t="n">
        <f aca="false">IFERROR(__xludf.dummyfunction("""COMPUTED_VALUE"""),272)</f>
        <v>272</v>
      </c>
    </row>
    <row r="213" customFormat="false" ht="14.25" hidden="false" customHeight="true" outlineLevel="0" collapsed="false">
      <c r="D213" s="7" t="str">
        <f aca="false">IFERROR(__xludf.dummyfunction("""COMPUTED_VALUE"""),"Manzengwenya Forest Station ")</f>
        <v>Manzengwenya Forest Station </v>
      </c>
      <c r="E213" s="7" t="n">
        <f aca="false">IFERROR(__xludf.dummyfunction("""COMPUTED_VALUE"""),-28.16839)</f>
        <v>-28.16839</v>
      </c>
      <c r="F213" s="7" t="n">
        <f aca="false">IFERROR(__xludf.dummyfunction("""COMPUTED_VALUE"""),32.41243)</f>
        <v>32.41243</v>
      </c>
      <c r="G213" s="7" t="n">
        <f aca="false">IFERROR(__xludf.dummyfunction("""COMPUTED_VALUE"""),414)</f>
        <v>414</v>
      </c>
    </row>
    <row r="214" customFormat="false" ht="14.25" hidden="false" customHeight="true" outlineLevel="0" collapsed="false">
      <c r="D214" s="7" t="str">
        <f aca="false">IFERROR(__xludf.dummyfunction("""COMPUTED_VALUE"""),"Coastal Cashes ")</f>
        <v>Coastal Cashes </v>
      </c>
      <c r="E214" s="7" t="n">
        <f aca="false">IFERROR(__xludf.dummyfunction("""COMPUTED_VALUE"""),-28.17138)</f>
        <v>-28.17138</v>
      </c>
      <c r="F214" s="7" t="n">
        <f aca="false">IFERROR(__xludf.dummyfunction("""COMPUTED_VALUE"""),29.25392)</f>
        <v>29.25392</v>
      </c>
      <c r="G214" s="7" t="n">
        <f aca="false">IFERROR(__xludf.dummyfunction("""COMPUTED_VALUE"""),404)</f>
        <v>404</v>
      </c>
    </row>
    <row r="215" customFormat="false" ht="14.25" hidden="false" customHeight="true" outlineLevel="0" collapsed="false">
      <c r="D215" s="7" t="str">
        <f aca="false">IFERROR(__xludf.dummyfunction("""COMPUTED_VALUE"""),"Mseleni Tribal Court ")</f>
        <v>Mseleni Tribal Court </v>
      </c>
      <c r="E215" s="7" t="n">
        <f aca="false">IFERROR(__xludf.dummyfunction("""COMPUTED_VALUE"""),-28.1844)</f>
        <v>-28.1844</v>
      </c>
      <c r="F215" s="7" t="n">
        <f aca="false">IFERROR(__xludf.dummyfunction("""COMPUTED_VALUE"""),29.26291)</f>
        <v>29.26291</v>
      </c>
      <c r="G215" s="7" t="n">
        <f aca="false">IFERROR(__xludf.dummyfunction("""COMPUTED_VALUE"""),452)</f>
        <v>452</v>
      </c>
    </row>
    <row r="216" customFormat="false" ht="14.25" hidden="false" customHeight="true" outlineLevel="0" collapsed="false">
      <c r="D216" s="7" t="str">
        <f aca="false">IFERROR(__xludf.dummyfunction("""COMPUTED_VALUE"""),"Western shores - EKZNW camp")</f>
        <v>Western shores - EKZNW camp</v>
      </c>
      <c r="E216" s="7" t="n">
        <f aca="false">IFERROR(__xludf.dummyfunction("""COMPUTED_VALUE"""),-28.9973)</f>
        <v>-28.9973</v>
      </c>
      <c r="F216" s="7" t="n">
        <f aca="false">IFERROR(__xludf.dummyfunction("""COMPUTED_VALUE"""),29.237592)</f>
        <v>29.237592</v>
      </c>
      <c r="G216" s="7" t="n">
        <f aca="false">IFERROR(__xludf.dummyfunction("""COMPUTED_VALUE"""),512)</f>
        <v>512</v>
      </c>
    </row>
    <row r="217" customFormat="false" ht="14.25" hidden="false" customHeight="true" outlineLevel="0" collapsed="false">
      <c r="D217" s="7" t="str">
        <f aca="false">IFERROR(__xludf.dummyfunction("""COMPUTED_VALUE"""),"WES01")</f>
        <v>WES01</v>
      </c>
      <c r="E217" s="7" t="n">
        <f aca="false">IFERROR(__xludf.dummyfunction("""COMPUTED_VALUE"""),-28.99808)</f>
        <v>-28.99808</v>
      </c>
      <c r="F217" s="7" t="n">
        <f aca="false">IFERROR(__xludf.dummyfunction("""COMPUTED_VALUE"""),29.22083)</f>
        <v>29.22083</v>
      </c>
      <c r="G217" s="7" t="n">
        <f aca="false">IFERROR(__xludf.dummyfunction("""COMPUTED_VALUE"""),446)</f>
        <v>446</v>
      </c>
    </row>
    <row r="218" customFormat="false" ht="14.25" hidden="false" customHeight="true" outlineLevel="0" collapsed="false">
      <c r="D218" s="7" t="str">
        <f aca="false">IFERROR(__xludf.dummyfunction("""COMPUTED_VALUE"""),"WES02")</f>
        <v>WES02</v>
      </c>
      <c r="E218" s="7" t="n">
        <f aca="false">IFERROR(__xludf.dummyfunction("""COMPUTED_VALUE"""),-28.98141)</f>
        <v>-28.98141</v>
      </c>
      <c r="F218" s="7" t="n">
        <f aca="false">IFERROR(__xludf.dummyfunction("""COMPUTED_VALUE"""),29.22262)</f>
        <v>29.22262</v>
      </c>
      <c r="G218" s="7" t="n">
        <f aca="false">IFERROR(__xludf.dummyfunction("""COMPUTED_VALUE"""),165)</f>
        <v>165</v>
      </c>
    </row>
    <row r="219" customFormat="false" ht="14.25" hidden="false" customHeight="true" outlineLevel="0" collapsed="false">
      <c r="D219" s="7" t="str">
        <f aca="false">IFERROR(__xludf.dummyfunction("""COMPUTED_VALUE"""),"WES03")</f>
        <v>WES03</v>
      </c>
      <c r="E219" s="7" t="n">
        <f aca="false">IFERROR(__xludf.dummyfunction("""COMPUTED_VALUE"""),-29.00491)</f>
        <v>-29.00491</v>
      </c>
      <c r="F219" s="7" t="n">
        <f aca="false">IFERROR(__xludf.dummyfunction("""COMPUTED_VALUE"""),29.22708)</f>
        <v>29.22708</v>
      </c>
      <c r="G219" s="7" t="n">
        <f aca="false">IFERROR(__xludf.dummyfunction("""COMPUTED_VALUE"""),387)</f>
        <v>387</v>
      </c>
    </row>
    <row r="220" customFormat="false" ht="14.25" hidden="false" customHeight="true" outlineLevel="0" collapsed="false">
      <c r="D220" s="7" t="str">
        <f aca="false">IFERROR(__xludf.dummyfunction("""COMPUTED_VALUE"""),"WES04")</f>
        <v>WES04</v>
      </c>
      <c r="E220" s="7" t="n">
        <f aca="false">IFERROR(__xludf.dummyfunction("""COMPUTED_VALUE"""),-28.99673)</f>
        <v>-28.99673</v>
      </c>
      <c r="F220" s="7" t="n">
        <f aca="false">IFERROR(__xludf.dummyfunction("""COMPUTED_VALUE"""),29.23056)</f>
        <v>29.23056</v>
      </c>
      <c r="G220" s="7" t="n">
        <f aca="false">IFERROR(__xludf.dummyfunction("""COMPUTED_VALUE"""),352)</f>
        <v>352</v>
      </c>
    </row>
    <row r="221" customFormat="false" ht="14.25" hidden="false" customHeight="true" outlineLevel="0" collapsed="false">
      <c r="D221" s="7" t="str">
        <f aca="false">IFERROR(__xludf.dummyfunction("""COMPUTED_VALUE"""),"10A")</f>
        <v>10A</v>
      </c>
      <c r="E221" s="7" t="n">
        <f aca="false">IFERROR(__xludf.dummyfunction("""COMPUTED_VALUE"""),-28.99111)</f>
        <v>-28.99111</v>
      </c>
      <c r="F221" s="7" t="n">
        <f aca="false">IFERROR(__xludf.dummyfunction("""COMPUTED_VALUE"""),29.233687)</f>
        <v>29.233687</v>
      </c>
      <c r="G221" s="7" t="n">
        <f aca="false">IFERROR(__xludf.dummyfunction("""COMPUTED_VALUE"""),346)</f>
        <v>346</v>
      </c>
    </row>
    <row r="222" customFormat="false" ht="14.25" hidden="false" customHeight="true" outlineLevel="0" collapsed="false">
      <c r="D222" s="7" t="str">
        <f aca="false">IFERROR(__xludf.dummyfunction("""COMPUTED_VALUE"""),"10C")</f>
        <v>10C</v>
      </c>
      <c r="E222" s="7" t="n">
        <f aca="false">IFERROR(__xludf.dummyfunction("""COMPUTED_VALUE"""),-29.00471)</f>
        <v>-29.00471</v>
      </c>
      <c r="F222" s="7" t="n">
        <f aca="false">IFERROR(__xludf.dummyfunction("""COMPUTED_VALUE"""),29.239195)</f>
        <v>29.239195</v>
      </c>
      <c r="G222" s="7" t="n">
        <f aca="false">IFERROR(__xludf.dummyfunction("""COMPUTED_VALUE"""),2146)</f>
        <v>2146</v>
      </c>
    </row>
    <row r="223" customFormat="false" ht="14.25" hidden="false" customHeight="true" outlineLevel="0" collapsed="false">
      <c r="D223" s="7" t="str">
        <f aca="false">IFERROR(__xludf.dummyfunction("""COMPUTED_VALUE"""),"1C")</f>
        <v>1C</v>
      </c>
      <c r="E223" s="7" t="n">
        <f aca="false">IFERROR(__xludf.dummyfunction("""COMPUTED_VALUE"""),-28.99611)</f>
        <v>-28.99611</v>
      </c>
      <c r="F223" s="7" t="n">
        <f aca="false">IFERROR(__xludf.dummyfunction("""COMPUTED_VALUE"""),29.23961)</f>
        <v>29.23961</v>
      </c>
      <c r="G223" s="7" t="n">
        <f aca="false">IFERROR(__xludf.dummyfunction("""COMPUTED_VALUE"""),1191)</f>
        <v>1191</v>
      </c>
    </row>
    <row r="224" customFormat="false" ht="14.25" hidden="false" customHeight="true" outlineLevel="0" collapsed="false">
      <c r="D224" s="7" t="str">
        <f aca="false">IFERROR(__xludf.dummyfunction("""COMPUTED_VALUE"""),"2A")</f>
        <v>2A</v>
      </c>
      <c r="E224" s="7" t="n">
        <f aca="false">IFERROR(__xludf.dummyfunction("""COMPUTED_VALUE"""),-28.98935)</f>
        <v>-28.98935</v>
      </c>
      <c r="F224" s="7" t="n">
        <f aca="false">IFERROR(__xludf.dummyfunction("""COMPUTED_VALUE"""),29.24129)</f>
        <v>29.24129</v>
      </c>
      <c r="G224" s="7" t="n">
        <f aca="false">IFERROR(__xludf.dummyfunction("""COMPUTED_VALUE"""),734)</f>
        <v>734</v>
      </c>
    </row>
    <row r="225" customFormat="false" ht="14.25" hidden="false" customHeight="true" outlineLevel="0" collapsed="false">
      <c r="D225" s="7" t="str">
        <f aca="false">IFERROR(__xludf.dummyfunction("""COMPUTED_VALUE"""),"2B")</f>
        <v>2B</v>
      </c>
      <c r="E225" s="7" t="n">
        <f aca="false">IFERROR(__xludf.dummyfunction("""COMPUTED_VALUE"""),-29.0035)</f>
        <v>-29.0035</v>
      </c>
      <c r="F225" s="7" t="n">
        <f aca="false">IFERROR(__xludf.dummyfunction("""COMPUTED_VALUE"""),29.24392)</f>
        <v>29.24392</v>
      </c>
      <c r="G225" s="7" t="n">
        <f aca="false">IFERROR(__xludf.dummyfunction("""COMPUTED_VALUE"""),550)</f>
        <v>550</v>
      </c>
    </row>
    <row r="226" customFormat="false" ht="14.25" hidden="false" customHeight="true" outlineLevel="0" collapsed="false">
      <c r="D226" s="7" t="str">
        <f aca="false">IFERROR(__xludf.dummyfunction("""COMPUTED_VALUE"""),"2C")</f>
        <v>2C</v>
      </c>
      <c r="E226" s="7" t="n">
        <f aca="false">IFERROR(__xludf.dummyfunction("""COMPUTED_VALUE"""),-28.99846)</f>
        <v>-28.99846</v>
      </c>
      <c r="F226" s="7" t="n">
        <f aca="false">IFERROR(__xludf.dummyfunction("""COMPUTED_VALUE"""),29.24816)</f>
        <v>29.24816</v>
      </c>
      <c r="G226" s="7" t="n">
        <f aca="false">IFERROR(__xludf.dummyfunction("""COMPUTED_VALUE"""),332.816)</f>
        <v>332.816</v>
      </c>
    </row>
    <row r="227" customFormat="false" ht="14.25" hidden="false" customHeight="true" outlineLevel="0" collapsed="false">
      <c r="D227" s="7" t="str">
        <f aca="false">IFERROR(__xludf.dummyfunction("""COMPUTED_VALUE"""),"3A")</f>
        <v>3A</v>
      </c>
      <c r="E227" s="7" t="n">
        <f aca="false">IFERROR(__xludf.dummyfunction("""COMPUTED_VALUE"""),-28.99096)</f>
        <v>-28.99096</v>
      </c>
      <c r="F227" s="7" t="n">
        <f aca="false">IFERROR(__xludf.dummyfunction("""COMPUTED_VALUE"""),29.25178)</f>
        <v>29.25178</v>
      </c>
      <c r="G227" s="7" t="n">
        <f aca="false">IFERROR(__xludf.dummyfunction("""COMPUTED_VALUE"""),332.966)</f>
        <v>332.966</v>
      </c>
    </row>
    <row r="228" customFormat="false" ht="14.25" hidden="false" customHeight="true" outlineLevel="0" collapsed="false">
      <c r="D228" s="7" t="str">
        <f aca="false">IFERROR(__xludf.dummyfunction("""COMPUTED_VALUE"""),"3B")</f>
        <v>3B</v>
      </c>
      <c r="E228" s="7" t="n">
        <f aca="false">IFERROR(__xludf.dummyfunction("""COMPUTED_VALUE"""),-28.99796)</f>
        <v>-28.99796</v>
      </c>
      <c r="F228" s="7" t="n">
        <f aca="false">IFERROR(__xludf.dummyfunction("""COMPUTED_VALUE"""),29.25656)</f>
        <v>29.25656</v>
      </c>
      <c r="G228" s="7" t="n">
        <f aca="false">IFERROR(__xludf.dummyfunction("""COMPUTED_VALUE"""),329.94)</f>
        <v>329.94</v>
      </c>
    </row>
    <row r="229" customFormat="false" ht="14.25" hidden="false" customHeight="true" outlineLevel="0" collapsed="false">
      <c r="D229" s="7" t="str">
        <f aca="false">IFERROR(__xludf.dummyfunction("""COMPUTED_VALUE"""),"3C")</f>
        <v>3C</v>
      </c>
      <c r="E229" s="7" t="n">
        <f aca="false">IFERROR(__xludf.dummyfunction("""COMPUTED_VALUE"""),-28.99309)</f>
        <v>-28.99309</v>
      </c>
      <c r="F229" s="7" t="n">
        <f aca="false">IFERROR(__xludf.dummyfunction("""COMPUTED_VALUE"""),29.25682)</f>
        <v>29.25682</v>
      </c>
      <c r="G229" s="7" t="n">
        <f aca="false">IFERROR(__xludf.dummyfunction("""COMPUTED_VALUE"""),332.84)</f>
        <v>332.84</v>
      </c>
    </row>
    <row r="230" customFormat="false" ht="14.25" hidden="false" customHeight="true" outlineLevel="0" collapsed="false">
      <c r="D230" s="7" t="str">
        <f aca="false">IFERROR(__xludf.dummyfunction("""COMPUTED_VALUE"""),"4A")</f>
        <v>4A</v>
      </c>
      <c r="E230" s="7" t="n">
        <f aca="false">IFERROR(__xludf.dummyfunction("""COMPUTED_VALUE"""),-28.99311)</f>
        <v>-28.99311</v>
      </c>
      <c r="F230" s="7" t="n">
        <f aca="false">IFERROR(__xludf.dummyfunction("""COMPUTED_VALUE"""),29.25231)</f>
        <v>29.25231</v>
      </c>
      <c r="G230" s="7" t="n">
        <f aca="false">IFERROR(__xludf.dummyfunction("""COMPUTED_VALUE"""),328.683)</f>
        <v>328.683</v>
      </c>
    </row>
    <row r="231" customFormat="false" ht="14.25" hidden="false" customHeight="true" outlineLevel="0" collapsed="false">
      <c r="D231" s="7" t="str">
        <f aca="false">IFERROR(__xludf.dummyfunction("""COMPUTED_VALUE"""),"4B")</f>
        <v>4B</v>
      </c>
      <c r="E231" s="7" t="n">
        <f aca="false">IFERROR(__xludf.dummyfunction("""COMPUTED_VALUE"""),-28.99006)</f>
        <v>-28.99006</v>
      </c>
      <c r="F231" s="7" t="n">
        <f aca="false">IFERROR(__xludf.dummyfunction("""COMPUTED_VALUE"""),29.261985)</f>
        <v>29.261985</v>
      </c>
      <c r="G231" s="7" t="n">
        <f aca="false">IFERROR(__xludf.dummyfunction("""COMPUTED_VALUE"""),333.985)</f>
        <v>333.985</v>
      </c>
    </row>
    <row r="232" customFormat="false" ht="14.25" hidden="false" customHeight="true" outlineLevel="0" collapsed="false">
      <c r="D232" s="7" t="str">
        <f aca="false">IFERROR(__xludf.dummyfunction("""COMPUTED_VALUE"""),"4C")</f>
        <v>4C</v>
      </c>
      <c r="E232" s="7" t="n">
        <f aca="false">IFERROR(__xludf.dummyfunction("""COMPUTED_VALUE"""),-28.98786)</f>
        <v>-28.98786</v>
      </c>
      <c r="F232" s="7" t="n">
        <f aca="false">IFERROR(__xludf.dummyfunction("""COMPUTED_VALUE"""),29.267869)</f>
        <v>29.267869</v>
      </c>
      <c r="G232" s="7" t="n">
        <f aca="false">IFERROR(__xludf.dummyfunction("""COMPUTED_VALUE"""),333.183)</f>
        <v>333.183</v>
      </c>
    </row>
    <row r="233" customFormat="false" ht="14.25" hidden="false" customHeight="true" outlineLevel="0" collapsed="false">
      <c r="D233" s="7" t="str">
        <f aca="false">IFERROR(__xludf.dummyfunction("""COMPUTED_VALUE"""),"5A")</f>
        <v>5A</v>
      </c>
      <c r="E233" s="7" t="n">
        <f aca="false">IFERROR(__xludf.dummyfunction("""COMPUTED_VALUE"""),-28.98293)</f>
        <v>-28.98293</v>
      </c>
      <c r="F233" s="7" t="n">
        <f aca="false">IFERROR(__xludf.dummyfunction("""COMPUTED_VALUE"""),29.262878)</f>
        <v>29.262878</v>
      </c>
      <c r="G233" s="7" t="n">
        <f aca="false">IFERROR(__xludf.dummyfunction("""COMPUTED_VALUE"""),335.904)</f>
        <v>335.904</v>
      </c>
    </row>
    <row r="234" customFormat="false" ht="14.25" hidden="false" customHeight="true" outlineLevel="0" collapsed="false">
      <c r="D234" s="7" t="str">
        <f aca="false">IFERROR(__xludf.dummyfunction("""COMPUTED_VALUE"""),"6B")</f>
        <v>6B</v>
      </c>
      <c r="E234" s="7" t="n">
        <f aca="false">IFERROR(__xludf.dummyfunction("""COMPUTED_VALUE"""),-28.98444)</f>
        <v>-28.98444</v>
      </c>
      <c r="F234" s="7" t="n">
        <f aca="false">IFERROR(__xludf.dummyfunction("""COMPUTED_VALUE"""),29.26621)</f>
        <v>29.26621</v>
      </c>
      <c r="G234" s="7" t="n">
        <f aca="false">IFERROR(__xludf.dummyfunction("""COMPUTED_VALUE"""),337.243)</f>
        <v>337.243</v>
      </c>
    </row>
    <row r="235" customFormat="false" ht="14.25" hidden="false" customHeight="true" outlineLevel="0" collapsed="false">
      <c r="D235" s="7" t="str">
        <f aca="false">IFERROR(__xludf.dummyfunction("""COMPUTED_VALUE"""),"7A")</f>
        <v>7A</v>
      </c>
      <c r="E235" s="7" t="n">
        <f aca="false">IFERROR(__xludf.dummyfunction("""COMPUTED_VALUE"""),-28.99122)</f>
        <v>-28.99122</v>
      </c>
      <c r="F235" s="7" t="n">
        <f aca="false">IFERROR(__xludf.dummyfunction("""COMPUTED_VALUE"""),29.273009)</f>
        <v>29.273009</v>
      </c>
      <c r="G235" s="7" t="n">
        <f aca="false">IFERROR(__xludf.dummyfunction("""COMPUTED_VALUE"""),338.883)</f>
        <v>338.883</v>
      </c>
    </row>
    <row r="236" customFormat="false" ht="14.25" hidden="false" customHeight="true" outlineLevel="0" collapsed="false">
      <c r="D236" s="7" t="str">
        <f aca="false">IFERROR(__xludf.dummyfunction("""COMPUTED_VALUE"""),"7C")</f>
        <v>7C</v>
      </c>
      <c r="E236" s="7" t="n">
        <f aca="false">IFERROR(__xludf.dummyfunction("""COMPUTED_VALUE"""),-28.99088)</f>
        <v>-28.99088</v>
      </c>
      <c r="F236" s="7" t="n">
        <f aca="false">IFERROR(__xludf.dummyfunction("""COMPUTED_VALUE"""),29.132368)</f>
        <v>29.132368</v>
      </c>
      <c r="G236" s="7" t="n">
        <f aca="false">IFERROR(__xludf.dummyfunction("""COMPUTED_VALUE"""),328.391)</f>
        <v>328.391</v>
      </c>
    </row>
    <row r="237" customFormat="false" ht="14.25" hidden="false" customHeight="true" outlineLevel="0" collapsed="false">
      <c r="D237" s="7" t="str">
        <f aca="false">IFERROR(__xludf.dummyfunction("""COMPUTED_VALUE"""),"8A")</f>
        <v>8A</v>
      </c>
      <c r="E237" s="7" t="n">
        <f aca="false">IFERROR(__xludf.dummyfunction("""COMPUTED_VALUE"""),-28.99171)</f>
        <v>-28.99171</v>
      </c>
      <c r="F237" s="7" t="n">
        <f aca="false">IFERROR(__xludf.dummyfunction("""COMPUTED_VALUE"""),29.233972)</f>
        <v>29.233972</v>
      </c>
      <c r="G237" s="7" t="n">
        <f aca="false">IFERROR(__xludf.dummyfunction("""COMPUTED_VALUE"""),330.151)</f>
        <v>330.151</v>
      </c>
    </row>
    <row r="238" customFormat="false" ht="14.25" hidden="false" customHeight="true" outlineLevel="0" collapsed="false">
      <c r="D238" s="7" t="str">
        <f aca="false">IFERROR(__xludf.dummyfunction("""COMPUTED_VALUE"""),"8C")</f>
        <v>8C</v>
      </c>
      <c r="E238" s="7" t="n">
        <f aca="false">IFERROR(__xludf.dummyfunction("""COMPUTED_VALUE"""),-28.688078)</f>
        <v>-28.688078</v>
      </c>
      <c r="F238" s="7" t="n">
        <f aca="false">IFERROR(__xludf.dummyfunction("""COMPUTED_VALUE"""),29.251841)</f>
        <v>29.251841</v>
      </c>
      <c r="G238" s="7" t="n">
        <f aca="false">IFERROR(__xludf.dummyfunction("""COMPUTED_VALUE"""),332.179)</f>
        <v>332.179</v>
      </c>
    </row>
    <row r="239" customFormat="false" ht="14.25" hidden="false" customHeight="true" outlineLevel="0" collapsed="false">
      <c r="D239" s="7" t="str">
        <f aca="false">IFERROR(__xludf.dummyfunction("""COMPUTED_VALUE"""),"9A")</f>
        <v>9A</v>
      </c>
      <c r="E239" s="7" t="n">
        <f aca="false">IFERROR(__xludf.dummyfunction("""COMPUTED_VALUE"""),-28.994639)</f>
        <v>-28.994639</v>
      </c>
      <c r="F239" s="7" t="n">
        <f aca="false">IFERROR(__xludf.dummyfunction("""COMPUTED_VALUE"""),29.266019)</f>
        <v>29.266019</v>
      </c>
      <c r="G239" s="7" t="n">
        <f aca="false">IFERROR(__xludf.dummyfunction("""COMPUTED_VALUE"""),328.978)</f>
        <v>328.978</v>
      </c>
    </row>
    <row r="240" customFormat="false" ht="14.25" hidden="false" customHeight="true" outlineLevel="0" collapsed="false">
      <c r="D240" s="7" t="str">
        <f aca="false">IFERROR(__xludf.dummyfunction("""COMPUTED_VALUE"""),"9C")</f>
        <v>9C</v>
      </c>
      <c r="E240" s="7" t="n">
        <f aca="false">IFERROR(__xludf.dummyfunction("""COMPUTED_VALUE"""),-28.99356)</f>
        <v>-28.99356</v>
      </c>
      <c r="F240" s="7" t="n">
        <f aca="false">IFERROR(__xludf.dummyfunction("""COMPUTED_VALUE"""),29.265611)</f>
        <v>29.265611</v>
      </c>
      <c r="G240" s="7" t="n">
        <f aca="false">IFERROR(__xludf.dummyfunction("""COMPUTED_VALUE"""),327.363)</f>
        <v>327.363</v>
      </c>
    </row>
    <row r="241" customFormat="false" ht="14.25" hidden="false" customHeight="true" outlineLevel="0" collapsed="false">
      <c r="D241" s="7" t="str">
        <f aca="false">IFERROR(__xludf.dummyfunction("""COMPUTED_VALUE"""),"Bambanani AWS")</f>
        <v>Bambanani AWS</v>
      </c>
      <c r="E241" s="7" t="n">
        <f aca="false">IFERROR(__xludf.dummyfunction("""COMPUTED_VALUE"""),-28.990881)</f>
        <v>-28.990881</v>
      </c>
      <c r="F241" s="7" t="n">
        <f aca="false">IFERROR(__xludf.dummyfunction("""COMPUTED_VALUE"""),29.251774)</f>
        <v>29.251774</v>
      </c>
      <c r="G241" s="7" t="n">
        <f aca="false">IFERROR(__xludf.dummyfunction("""COMPUTED_VALUE"""),328.039)</f>
        <v>328.039</v>
      </c>
    </row>
    <row r="242" customFormat="false" ht="14.25" hidden="false" customHeight="true" outlineLevel="0" collapsed="false">
      <c r="D242" s="7" t="str">
        <f aca="false">IFERROR(__xludf.dummyfunction("""COMPUTED_VALUE"""),"CAT3 Soil pit")</f>
        <v>CAT3 Soil pit</v>
      </c>
      <c r="E242" s="7" t="n">
        <f aca="false">IFERROR(__xludf.dummyfunction("""COMPUTED_VALUE"""),-28.990703)</f>
        <v>-28.990703</v>
      </c>
      <c r="F242" s="7" t="n">
        <f aca="false">IFERROR(__xludf.dummyfunction("""COMPUTED_VALUE"""),29.235787)</f>
        <v>29.235787</v>
      </c>
      <c r="G242" s="7" t="n">
        <f aca="false">IFERROR(__xludf.dummyfunction("""COMPUTED_VALUE"""),330.826)</f>
        <v>330.826</v>
      </c>
    </row>
    <row r="243" customFormat="false" ht="14.25" hidden="false" customHeight="true" outlineLevel="0" collapsed="false">
      <c r="D243" s="7" t="str">
        <f aca="false">IFERROR(__xludf.dummyfunction("""COMPUTED_VALUE"""),"CAT6 Soil Pit ")</f>
        <v>CAT6 Soil Pit </v>
      </c>
      <c r="E243" s="7" t="n">
        <f aca="false">IFERROR(__xludf.dummyfunction("""COMPUTED_VALUE"""),-28.99313)</f>
        <v>-28.99313</v>
      </c>
      <c r="F243" s="7" t="n">
        <f aca="false">IFERROR(__xludf.dummyfunction("""COMPUTED_VALUE"""),29.322132)</f>
        <v>29.322132</v>
      </c>
      <c r="G243" s="7" t="n">
        <f aca="false">IFERROR(__xludf.dummyfunction("""COMPUTED_VALUE"""),324.7)</f>
        <v>324.7</v>
      </c>
    </row>
    <row r="244" customFormat="false" ht="14.25" hidden="false" customHeight="true" outlineLevel="0" collapsed="false">
      <c r="D244" s="7" t="str">
        <f aca="false">IFERROR(__xludf.dummyfunction("""COMPUTED_VALUE"""),"CAT9 AWS station")</f>
        <v>CAT9 AWS station</v>
      </c>
      <c r="E244" s="7" t="n">
        <f aca="false">IFERROR(__xludf.dummyfunction("""COMPUTED_VALUE"""),-28.975583)</f>
        <v>-28.975583</v>
      </c>
      <c r="F244" s="7" t="n">
        <f aca="false">IFERROR(__xludf.dummyfunction("""COMPUTED_VALUE"""),29.253782)</f>
        <v>29.253782</v>
      </c>
      <c r="G244" s="7" t="n">
        <f aca="false">IFERROR(__xludf.dummyfunction("""COMPUTED_VALUE"""),331.089)</f>
        <v>331.089</v>
      </c>
    </row>
    <row r="245" customFormat="false" ht="14.25" hidden="false" customHeight="true" outlineLevel="0" collapsed="false">
      <c r="D245" s="7" t="str">
        <f aca="false">IFERROR(__xludf.dummyfunction("""COMPUTED_VALUE"""),"CAT9 Soil pit")</f>
        <v>CAT9 Soil pit</v>
      </c>
      <c r="E245" s="7" t="n">
        <f aca="false">IFERROR(__xludf.dummyfunction("""COMPUTED_VALUE"""),-29.067001)</f>
        <v>-29.067001</v>
      </c>
      <c r="F245" s="7" t="n">
        <f aca="false">IFERROR(__xludf.dummyfunction("""COMPUTED_VALUE"""),29.251896)</f>
        <v>29.251896</v>
      </c>
      <c r="G245" s="7" t="n">
        <f aca="false">IFERROR(__xludf.dummyfunction("""COMPUTED_VALUE"""),330.907)</f>
        <v>330.907</v>
      </c>
    </row>
    <row r="246" customFormat="false" ht="14.25" hidden="false" customHeight="true" outlineLevel="0" collapsed="false">
      <c r="D246" s="7" t="str">
        <f aca="false">IFERROR(__xludf.dummyfunction("""COMPUTED_VALUE"""),"Cosmic Ray Probe")</f>
        <v>Cosmic Ray Probe</v>
      </c>
      <c r="E246" s="7" t="n">
        <f aca="false">IFERROR(__xludf.dummyfunction("""COMPUTED_VALUE"""),-28.990896)</f>
        <v>-28.990896</v>
      </c>
      <c r="F246" s="7" t="n">
        <f aca="false">IFERROR(__xludf.dummyfunction("""COMPUTED_VALUE"""),29.23522)</f>
        <v>29.23522</v>
      </c>
      <c r="G246" s="7" t="n">
        <f aca="false">IFERROR(__xludf.dummyfunction("""COMPUTED_VALUE"""),329.536)</f>
        <v>329.536</v>
      </c>
    </row>
    <row r="247" customFormat="false" ht="14.25" hidden="false" customHeight="true" outlineLevel="0" collapsed="false">
      <c r="D247" s="7" t="str">
        <f aca="false">IFERROR(__xludf.dummyfunction("""COMPUTED_VALUE"""),"Davis Mike's Pass MET")</f>
        <v>Davis Mike's Pass MET</v>
      </c>
      <c r="E247" s="7" t="n">
        <f aca="false">IFERROR(__xludf.dummyfunction("""COMPUTED_VALUE"""),-28.993675)</f>
        <v>-28.993675</v>
      </c>
      <c r="F247" s="7" t="n">
        <f aca="false">IFERROR(__xludf.dummyfunction("""COMPUTED_VALUE"""),29.092818)</f>
        <v>29.092818</v>
      </c>
      <c r="G247" s="7" t="n">
        <f aca="false">IFERROR(__xludf.dummyfunction("""COMPUTED_VALUE"""),326.855)</f>
        <v>326.855</v>
      </c>
    </row>
    <row r="248" customFormat="false" ht="14.25" hidden="false" customHeight="true" outlineLevel="0" collapsed="false">
      <c r="D248" s="7" t="str">
        <f aca="false">IFERROR(__xludf.dummyfunction("""COMPUTED_VALUE"""),"Eddy Covariance System")</f>
        <v>Eddy Covariance System</v>
      </c>
      <c r="E248" s="7" t="n">
        <f aca="false">IFERROR(__xludf.dummyfunction("""COMPUTED_VALUE"""),-28.940616)</f>
        <v>-28.940616</v>
      </c>
      <c r="F248" s="7" t="n">
        <f aca="false">IFERROR(__xludf.dummyfunction("""COMPUTED_VALUE"""),29.273196)</f>
        <v>29.273196</v>
      </c>
      <c r="G248" s="7" t="n">
        <f aca="false">IFERROR(__xludf.dummyfunction("""COMPUTED_VALUE"""),327.109)</f>
        <v>327.109</v>
      </c>
    </row>
    <row r="249" customFormat="false" ht="14.25" hidden="false" customHeight="true" outlineLevel="0" collapsed="false">
      <c r="D249" s="7" t="str">
        <f aca="false">IFERROR(__xludf.dummyfunction("""COMPUTED_VALUE"""),"Ground level Mike's MET")</f>
        <v>Ground level Mike's MET</v>
      </c>
      <c r="E249" s="7" t="n">
        <f aca="false">IFERROR(__xludf.dummyfunction("""COMPUTED_VALUE"""),-28.708434)</f>
        <v>-28.708434</v>
      </c>
      <c r="F249" s="7" t="n">
        <f aca="false">IFERROR(__xludf.dummyfunction("""COMPUTED_VALUE"""),29.251791)</f>
        <v>29.251791</v>
      </c>
      <c r="G249" s="7" t="n">
        <f aca="false">IFERROR(__xludf.dummyfunction("""COMPUTED_VALUE"""),326.388)</f>
        <v>326.388</v>
      </c>
    </row>
    <row r="250" customFormat="false" ht="14.25" hidden="false" customHeight="true" outlineLevel="0" collapsed="false">
      <c r="D250" s="7" t="str">
        <f aca="false">IFERROR(__xludf.dummyfunction("""COMPUTED_VALUE"""),"High Altitude AWS")</f>
        <v>High Altitude AWS</v>
      </c>
      <c r="E250" s="7" t="n">
        <f aca="false">IFERROR(__xludf.dummyfunction("""COMPUTED_VALUE"""),-28.991596)</f>
        <v>-28.991596</v>
      </c>
      <c r="F250" s="7" t="n">
        <f aca="false">IFERROR(__xludf.dummyfunction("""COMPUTED_VALUE"""),29.243776)</f>
        <v>29.243776</v>
      </c>
      <c r="G250" s="7" t="n">
        <f aca="false">IFERROR(__xludf.dummyfunction("""COMPUTED_VALUE"""),327.444)</f>
        <v>327.444</v>
      </c>
    </row>
    <row r="251" customFormat="false" ht="14.25" hidden="false" customHeight="true" outlineLevel="0" collapsed="false">
      <c r="D251" s="7" t="str">
        <f aca="false">IFERROR(__xludf.dummyfunction("""COMPUTED_VALUE"""),"LAS gauge")</f>
        <v>LAS gauge</v>
      </c>
      <c r="E251" s="7" t="n">
        <f aca="false">IFERROR(__xludf.dummyfunction("""COMPUTED_VALUE"""),-28.987768)</f>
        <v>-28.987768</v>
      </c>
      <c r="F251" s="7" t="n">
        <f aca="false">IFERROR(__xludf.dummyfunction("""COMPUTED_VALUE"""),29.244337)</f>
        <v>29.244337</v>
      </c>
      <c r="G251" s="7" t="n">
        <f aca="false">IFERROR(__xludf.dummyfunction("""COMPUTED_VALUE"""),328.971)</f>
        <v>328.971</v>
      </c>
    </row>
    <row r="252" customFormat="false" ht="14.25" hidden="false" customHeight="true" outlineLevel="0" collapsed="false">
      <c r="D252" s="7" t="str">
        <f aca="false">IFERROR(__xludf.dummyfunction("""COMPUTED_VALUE"""),"Licor 8100")</f>
        <v>Licor 8100</v>
      </c>
      <c r="E252" s="7" t="n">
        <f aca="false">IFERROR(__xludf.dummyfunction("""COMPUTED_VALUE"""),-28.99071)</f>
        <v>-28.99071</v>
      </c>
      <c r="F252" s="7" t="n">
        <f aca="false">IFERROR(__xludf.dummyfunction("""COMPUTED_VALUE"""),29.251843)</f>
        <v>29.251843</v>
      </c>
      <c r="G252" s="7" t="n">
        <f aca="false">IFERROR(__xludf.dummyfunction("""COMPUTED_VALUE"""),316.063)</f>
        <v>316.063</v>
      </c>
    </row>
    <row r="253" customFormat="false" ht="14.25" hidden="false" customHeight="true" outlineLevel="0" collapsed="false">
      <c r="D253" s="7" t="str">
        <f aca="false">IFERROR(__xludf.dummyfunction("""COMPUTED_VALUE"""),"MET 2 Texas")</f>
        <v>MET 2 Texas</v>
      </c>
      <c r="E253" s="7" t="n">
        <f aca="false">IFERROR(__xludf.dummyfunction("""COMPUTED_VALUE"""),-28.9908)</f>
        <v>-28.9908</v>
      </c>
      <c r="F253" s="7" t="n">
        <f aca="false">IFERROR(__xludf.dummyfunction("""COMPUTED_VALUE"""),29.252701)</f>
        <v>29.252701</v>
      </c>
      <c r="G253" s="7" t="n">
        <f aca="false">IFERROR(__xludf.dummyfunction("""COMPUTED_VALUE"""),317.902)</f>
        <v>317.902</v>
      </c>
    </row>
    <row r="254" customFormat="false" ht="14.25" hidden="false" customHeight="true" outlineLevel="0" collapsed="false">
      <c r="D254" s="7" t="str">
        <f aca="false">IFERROR(__xludf.dummyfunction("""COMPUTED_VALUE"""),"MET 3 Texas")</f>
        <v>MET 3 Texas</v>
      </c>
      <c r="E254" s="7" t="n">
        <f aca="false">IFERROR(__xludf.dummyfunction("""COMPUTED_VALUE"""),-28.98776)</f>
        <v>-28.98776</v>
      </c>
      <c r="F254" s="7" t="n">
        <f aca="false">IFERROR(__xludf.dummyfunction("""COMPUTED_VALUE"""),29.234188)</f>
        <v>29.234188</v>
      </c>
      <c r="G254" s="7" t="n">
        <f aca="false">IFERROR(__xludf.dummyfunction("""COMPUTED_VALUE"""),322.889)</f>
        <v>322.889</v>
      </c>
    </row>
    <row r="255" customFormat="false" ht="14.25" hidden="false" customHeight="true" outlineLevel="0" collapsed="false">
      <c r="D255" s="7" t="str">
        <f aca="false">IFERROR(__xludf.dummyfunction("""COMPUTED_VALUE"""),"MET fog gauge")</f>
        <v>MET fog gauge</v>
      </c>
      <c r="E255" s="7" t="n">
        <f aca="false">IFERROR(__xludf.dummyfunction("""COMPUTED_VALUE"""),-28.98741)</f>
        <v>-28.98741</v>
      </c>
      <c r="F255" s="7" t="n">
        <f aca="false">IFERROR(__xludf.dummyfunction("""COMPUTED_VALUE"""),29.23428)</f>
        <v>29.23428</v>
      </c>
      <c r="G255" s="7" t="n">
        <f aca="false">IFERROR(__xludf.dummyfunction("""COMPUTED_VALUE"""),1489)</f>
        <v>1489</v>
      </c>
    </row>
    <row r="256" customFormat="false" ht="14.25" hidden="false" customHeight="true" outlineLevel="0" collapsed="false">
      <c r="D256" s="7" t="str">
        <f aca="false">IFERROR(__xludf.dummyfunction("""COMPUTED_VALUE"""),"Mike's Pass AWS")</f>
        <v>Mike's Pass AWS</v>
      </c>
      <c r="E256" s="7" t="n">
        <f aca="false">IFERROR(__xludf.dummyfunction("""COMPUTED_VALUE"""),-28.998377)</f>
        <v>-28.998377</v>
      </c>
      <c r="F256" s="7" t="n">
        <f aca="false">IFERROR(__xludf.dummyfunction("""COMPUTED_VALUE"""),29.236802)</f>
        <v>29.236802</v>
      </c>
      <c r="G256" s="7" t="n">
        <f aca="false">IFERROR(__xludf.dummyfunction("""COMPUTED_VALUE"""),1883)</f>
        <v>1883</v>
      </c>
    </row>
    <row r="257" customFormat="false" ht="14.25" hidden="false" customHeight="true" outlineLevel="0" collapsed="false">
      <c r="D257" s="7" t="str">
        <f aca="false">IFERROR(__xludf.dummyfunction("""COMPUTED_VALUE"""),"Nipher Mike's MET")</f>
        <v>Nipher Mike's MET</v>
      </c>
      <c r="E257" s="7" t="n">
        <f aca="false">IFERROR(__xludf.dummyfunction("""COMPUTED_VALUE"""),-28.998444)</f>
        <v>-28.998444</v>
      </c>
      <c r="F257" s="7" t="n">
        <f aca="false">IFERROR(__xludf.dummyfunction("""COMPUTED_VALUE"""),29.237037)</f>
        <v>29.237037</v>
      </c>
      <c r="G257" s="7" t="n">
        <f aca="false">IFERROR(__xludf.dummyfunction("""COMPUTED_VALUE"""),1342)</f>
        <v>1342</v>
      </c>
    </row>
    <row r="258" customFormat="false" ht="14.25" hidden="false" customHeight="true" outlineLevel="0" collapsed="false">
      <c r="D258" s="7" t="str">
        <f aca="false">IFERROR(__xludf.dummyfunction("""COMPUTED_VALUE"""),"OIC AWS")</f>
        <v>OIC AWS</v>
      </c>
      <c r="E258" s="7" t="n">
        <f aca="false">IFERROR(__xludf.dummyfunction("""COMPUTED_VALUE"""),-28.994298)</f>
        <v>-28.994298</v>
      </c>
      <c r="F258" s="7" t="n">
        <f aca="false">IFERROR(__xludf.dummyfunction("""COMPUTED_VALUE"""),29.237972)</f>
        <v>29.237972</v>
      </c>
      <c r="G258" s="7" t="n">
        <f aca="false">IFERROR(__xludf.dummyfunction("""COMPUTED_VALUE"""),338)</f>
        <v>338</v>
      </c>
    </row>
    <row r="259" customFormat="false" ht="14.25" hidden="false" customHeight="true" outlineLevel="0" collapsed="false">
      <c r="D259" s="7" t="str">
        <f aca="false">IFERROR(__xludf.dummyfunction("""COMPUTED_VALUE"""),"Okhombe AWS")</f>
        <v>Okhombe AWS</v>
      </c>
      <c r="E259" s="7" t="n">
        <f aca="false">IFERROR(__xludf.dummyfunction("""COMPUTED_VALUE"""),-28.994408)</f>
        <v>-28.994408</v>
      </c>
      <c r="F259" s="7" t="n">
        <f aca="false">IFERROR(__xludf.dummyfunction("""COMPUTED_VALUE"""),29.238047)</f>
        <v>29.238047</v>
      </c>
    </row>
    <row r="260" customFormat="false" ht="14.25" hidden="false" customHeight="true" outlineLevel="0" collapsed="false">
      <c r="D260" s="7" t="str">
        <f aca="false">IFERROR(__xludf.dummyfunction("""COMPUTED_VALUE"""),"Spectral probe - IX")</f>
        <v>Spectral probe - IX</v>
      </c>
      <c r="E260" s="7" t="n">
        <f aca="false">IFERROR(__xludf.dummyfunction("""COMPUTED_VALUE"""),-28.990337)</f>
        <v>-28.990337</v>
      </c>
      <c r="F260" s="7" t="n">
        <f aca="false">IFERROR(__xludf.dummyfunction("""COMPUTED_VALUE"""),29.252464)</f>
        <v>29.252464</v>
      </c>
    </row>
    <row r="261" customFormat="false" ht="14.25" hidden="false" customHeight="true" outlineLevel="0" collapsed="false">
      <c r="D261" s="7" t="str">
        <f aca="false">IFERROR(__xludf.dummyfunction("""COMPUTED_VALUE"""),"Spectral probe - VI")</f>
        <v>Spectral probe - VI</v>
      </c>
      <c r="E261" s="7" t="n">
        <f aca="false">IFERROR(__xludf.dummyfunction("""COMPUTED_VALUE"""),-28.990445)</f>
        <v>-28.990445</v>
      </c>
      <c r="F261" s="7" t="n">
        <f aca="false">IFERROR(__xludf.dummyfunction("""COMPUTED_VALUE"""),29.25233)</f>
        <v>29.25233</v>
      </c>
    </row>
    <row r="262" customFormat="false" ht="14.25" hidden="false" customHeight="true" outlineLevel="0" collapsed="false">
      <c r="D262" s="7" t="str">
        <f aca="false">IFERROR(__xludf.dummyfunction("""COMPUTED_VALUE"""),"Surface renewal system - catchment III")</f>
        <v>Surface renewal system - catchment III</v>
      </c>
      <c r="E262" s="7" t="n">
        <f aca="false">IFERROR(__xludf.dummyfunction("""COMPUTED_VALUE"""),-28.995485)</f>
        <v>-28.995485</v>
      </c>
      <c r="F262" s="7" t="n">
        <f aca="false">IFERROR(__xludf.dummyfunction("""COMPUTED_VALUE"""),29.252372)</f>
        <v>29.252372</v>
      </c>
    </row>
    <row r="263" customFormat="false" ht="14.25" hidden="false" customHeight="true" outlineLevel="0" collapsed="false">
      <c r="D263" s="7" t="str">
        <f aca="false">IFERROR(__xludf.dummyfunction("""COMPUTED_VALUE"""),"Surface renewal system - catchment IX")</f>
        <v>Surface renewal system - catchment IX</v>
      </c>
      <c r="E263" s="7" t="n">
        <f aca="false">IFERROR(__xludf.dummyfunction("""COMPUTED_VALUE"""),-28.99563)</f>
        <v>-28.99563</v>
      </c>
      <c r="F263" s="7" t="n">
        <f aca="false">IFERROR(__xludf.dummyfunction("""COMPUTED_VALUE"""),29.252295)</f>
        <v>29.252295</v>
      </c>
    </row>
    <row r="264" customFormat="false" ht="14.25" hidden="false" customHeight="true" outlineLevel="0" collapsed="false">
      <c r="D264" s="7" t="str">
        <f aca="false">IFERROR(__xludf.dummyfunction("""COMPUTED_VALUE"""),"Weir 03")</f>
        <v>Weir 03</v>
      </c>
      <c r="E264" s="7" t="n">
        <f aca="false">IFERROR(__xludf.dummyfunction("""COMPUTED_VALUE"""),-28.993319)</f>
        <v>-28.993319</v>
      </c>
      <c r="F264" s="7" t="n">
        <f aca="false">IFERROR(__xludf.dummyfunction("""COMPUTED_VALUE"""),29.25188)</f>
        <v>29.25188</v>
      </c>
    </row>
    <row r="265" customFormat="false" ht="14.25" hidden="false" customHeight="true" outlineLevel="0" collapsed="false">
      <c r="D265" s="7" t="str">
        <f aca="false">IFERROR(__xludf.dummyfunction("""COMPUTED_VALUE"""),"Weir 03 ISCO")</f>
        <v>Weir 03 ISCO</v>
      </c>
      <c r="E265" s="7" t="n">
        <f aca="false">IFERROR(__xludf.dummyfunction("""COMPUTED_VALUE"""),-28.993301)</f>
        <v>-28.993301</v>
      </c>
      <c r="F265" s="7" t="n">
        <f aca="false">IFERROR(__xludf.dummyfunction("""COMPUTED_VALUE"""),29.251988)</f>
        <v>29.251988</v>
      </c>
    </row>
    <row r="266" customFormat="false" ht="14.25" hidden="false" customHeight="true" outlineLevel="0" collapsed="false">
      <c r="D266" s="7" t="str">
        <f aca="false">IFERROR(__xludf.dummyfunction("""COMPUTED_VALUE"""),"Weir 03 YSI")</f>
        <v>Weir 03 YSI</v>
      </c>
      <c r="E266" s="7" t="n">
        <f aca="false">IFERROR(__xludf.dummyfunction("""COMPUTED_VALUE"""),-28.989423)</f>
        <v>-28.989423</v>
      </c>
      <c r="F266" s="7" t="n">
        <f aca="false">IFERROR(__xludf.dummyfunction("""COMPUTED_VALUE"""),29.264336)</f>
        <v>29.264336</v>
      </c>
    </row>
    <row r="267" customFormat="false" ht="14.25" hidden="false" customHeight="true" outlineLevel="0" collapsed="false">
      <c r="D267" s="7" t="str">
        <f aca="false">IFERROR(__xludf.dummyfunction("""COMPUTED_VALUE"""),"Weir 04")</f>
        <v>Weir 04</v>
      </c>
      <c r="E267" s="7" t="n">
        <f aca="false">IFERROR(__xludf.dummyfunction("""COMPUTED_VALUE"""),-28.989516)</f>
        <v>-28.989516</v>
      </c>
      <c r="F267" s="7" t="n">
        <f aca="false">IFERROR(__xludf.dummyfunction("""COMPUTED_VALUE"""),29.264466)</f>
        <v>29.264466</v>
      </c>
    </row>
    <row r="268" customFormat="false" ht="14.25" hidden="false" customHeight="true" outlineLevel="0" collapsed="false">
      <c r="D268" s="7" t="str">
        <f aca="false">IFERROR(__xludf.dummyfunction("""COMPUTED_VALUE"""),"Weir 04 YSI")</f>
        <v>Weir 04 YSI</v>
      </c>
      <c r="E268" s="7" t="n">
        <f aca="false">IFERROR(__xludf.dummyfunction("""COMPUTED_VALUE"""),-28.990628)</f>
        <v>-28.990628</v>
      </c>
      <c r="F268" s="7" t="n">
        <f aca="false">IFERROR(__xludf.dummyfunction("""COMPUTED_VALUE"""),29.267246)</f>
        <v>29.267246</v>
      </c>
    </row>
    <row r="269" customFormat="false" ht="14.25" hidden="false" customHeight="true" outlineLevel="0" collapsed="false">
      <c r="D269" s="7" t="str">
        <f aca="false">IFERROR(__xludf.dummyfunction("""COMPUTED_VALUE"""),"Weir 05")</f>
        <v>Weir 05</v>
      </c>
      <c r="E269" s="7" t="n">
        <f aca="false">IFERROR(__xludf.dummyfunction("""COMPUTED_VALUE"""),-28.991081)</f>
        <v>-28.991081</v>
      </c>
      <c r="F269" s="7" t="n">
        <f aca="false">IFERROR(__xludf.dummyfunction("""COMPUTED_VALUE"""),29.267199)</f>
        <v>29.267199</v>
      </c>
    </row>
    <row r="270" customFormat="false" ht="14.25" hidden="false" customHeight="true" outlineLevel="0" collapsed="false">
      <c r="D270" s="7" t="str">
        <f aca="false">IFERROR(__xludf.dummyfunction("""COMPUTED_VALUE"""),"Weir 05 YSI")</f>
        <v>Weir 05 YSI</v>
      </c>
      <c r="E270" s="7" t="n">
        <f aca="false">IFERROR(__xludf.dummyfunction("""COMPUTED_VALUE"""),-28.99061)</f>
        <v>-28.99061</v>
      </c>
      <c r="F270" s="7" t="n">
        <f aca="false">IFERROR(__xludf.dummyfunction("""COMPUTED_VALUE"""),29.27033)</f>
        <v>29.27033</v>
      </c>
    </row>
    <row r="271" customFormat="false" ht="14.25" hidden="false" customHeight="true" outlineLevel="0" collapsed="false">
      <c r="D271" s="7" t="str">
        <f aca="false">IFERROR(__xludf.dummyfunction("""COMPUTED_VALUE"""),"Weir 06 ")</f>
        <v>Weir 06 </v>
      </c>
      <c r="E271" s="7" t="n">
        <f aca="false">IFERROR(__xludf.dummyfunction("""COMPUTED_VALUE"""),-28.990737)</f>
        <v>-28.990737</v>
      </c>
      <c r="F271" s="7" t="n">
        <f aca="false">IFERROR(__xludf.dummyfunction("""COMPUTED_VALUE"""),29.270294)</f>
        <v>29.270294</v>
      </c>
    </row>
    <row r="272" customFormat="false" ht="14.25" hidden="false" customHeight="true" outlineLevel="0" collapsed="false">
      <c r="D272" s="7" t="str">
        <f aca="false">IFERROR(__xludf.dummyfunction("""COMPUTED_VALUE"""),"Weir 06 ISCO")</f>
        <v>Weir 06 ISCO</v>
      </c>
      <c r="E272" s="7" t="n">
        <f aca="false">IFERROR(__xludf.dummyfunction("""COMPUTED_VALUE"""),-28.991731)</f>
        <v>-28.991731</v>
      </c>
      <c r="F272" s="7" t="n">
        <f aca="false">IFERROR(__xludf.dummyfunction("""COMPUTED_VALUE"""),31.116389)</f>
        <v>31.116389</v>
      </c>
    </row>
    <row r="273" customFormat="false" ht="14.25" hidden="false" customHeight="true" outlineLevel="0" collapsed="false">
      <c r="D273" s="7" t="str">
        <f aca="false">IFERROR(__xludf.dummyfunction("""COMPUTED_VALUE"""),"Weir 06 YSI")</f>
        <v>Weir 06 YSI</v>
      </c>
      <c r="E273" s="7" t="n">
        <f aca="false">IFERROR(__xludf.dummyfunction("""COMPUTED_VALUE"""),-28.99188)</f>
        <v>-28.99188</v>
      </c>
      <c r="F273" s="7" t="n">
        <f aca="false">IFERROR(__xludf.dummyfunction("""COMPUTED_VALUE"""),31.334914)</f>
        <v>31.334914</v>
      </c>
    </row>
    <row r="274" customFormat="false" ht="14.25" hidden="false" customHeight="true" outlineLevel="0" collapsed="false">
      <c r="D274" s="7" t="str">
        <f aca="false">IFERROR(__xludf.dummyfunction("""COMPUTED_VALUE"""),"Weir 07")</f>
        <v>Weir 07</v>
      </c>
      <c r="E274" s="7" t="n">
        <f aca="false">IFERROR(__xludf.dummyfunction("""COMPUTED_VALUE"""),-23.525)</f>
        <v>-23.525</v>
      </c>
      <c r="F274" s="7" t="n">
        <f aca="false">IFERROR(__xludf.dummyfunction("""COMPUTED_VALUE"""),31.329555)</f>
        <v>31.329555</v>
      </c>
    </row>
    <row r="275" customFormat="false" ht="14.25" hidden="false" customHeight="true" outlineLevel="0" collapsed="false">
      <c r="D275" s="7" t="str">
        <f aca="false">IFERROR(__xludf.dummyfunction("""COMPUTED_VALUE"""),"Weir 07 YSI")</f>
        <v>Weir 07 YSI</v>
      </c>
      <c r="E275" s="7" t="n">
        <f aca="false">IFERROR(__xludf.dummyfunction("""COMPUTED_VALUE"""),-23.525833)</f>
        <v>-23.525833</v>
      </c>
      <c r="F275" s="7" t="n">
        <f aca="false">IFERROR(__xludf.dummyfunction("""COMPUTED_VALUE"""),31.08588)</f>
        <v>31.08588</v>
      </c>
    </row>
    <row r="276" customFormat="false" ht="14.25" hidden="false" customHeight="true" outlineLevel="0" collapsed="false">
      <c r="D276" s="7" t="str">
        <f aca="false">IFERROR(__xludf.dummyfunction("""COMPUTED_VALUE"""),"Weir 09")</f>
        <v>Weir 09</v>
      </c>
      <c r="E276" s="7" t="n">
        <f aca="false">IFERROR(__xludf.dummyfunction("""COMPUTED_VALUE"""),-24.542253)</f>
        <v>-24.542253</v>
      </c>
      <c r="F276" s="7" t="n">
        <f aca="false">IFERROR(__xludf.dummyfunction("""COMPUTED_VALUE"""),29.42433)</f>
        <v>29.42433</v>
      </c>
    </row>
    <row r="277" customFormat="false" ht="14.25" hidden="false" customHeight="true" outlineLevel="0" collapsed="false">
      <c r="D277" s="7" t="str">
        <f aca="false">IFERROR(__xludf.dummyfunction("""COMPUTED_VALUE"""),"Weir 09 ISCO")</f>
        <v>Weir 09 ISCO</v>
      </c>
      <c r="E277" s="7" t="n">
        <f aca="false">IFERROR(__xludf.dummyfunction("""COMPUTED_VALUE"""),-24.576235)</f>
        <v>-24.576235</v>
      </c>
      <c r="F277" s="7" t="n">
        <f aca="false">IFERROR(__xludf.dummyfunction("""COMPUTED_VALUE"""),29.44525)</f>
        <v>29.44525</v>
      </c>
    </row>
    <row r="278" customFormat="false" ht="14.25" hidden="false" customHeight="true" outlineLevel="0" collapsed="false">
      <c r="D278" s="7" t="str">
        <f aca="false">IFERROR(__xludf.dummyfunction("""COMPUTED_VALUE"""),"Weir 09 YSI")</f>
        <v>Weir 09 YSI</v>
      </c>
      <c r="E278" s="7" t="n">
        <f aca="false">IFERROR(__xludf.dummyfunction("""COMPUTED_VALUE"""),-23.86753)</f>
        <v>-23.86753</v>
      </c>
      <c r="F278" s="7" t="n">
        <f aca="false">IFERROR(__xludf.dummyfunction("""COMPUTED_VALUE"""),29.42891)</f>
        <v>29.42891</v>
      </c>
    </row>
    <row r="279" customFormat="false" ht="14.25" hidden="false" customHeight="true" outlineLevel="0" collapsed="false">
      <c r="D279" s="7" t="str">
        <f aca="false">IFERROR(__xludf.dummyfunction("""COMPUTED_VALUE"""),"CAT3 #1")</f>
        <v>CAT3 #1</v>
      </c>
      <c r="E279" s="7" t="n">
        <f aca="false">IFERROR(__xludf.dummyfunction("""COMPUTED_VALUE"""),-22.99154)</f>
        <v>-22.99154</v>
      </c>
      <c r="F279" s="7" t="n">
        <f aca="false">IFERROR(__xludf.dummyfunction("""COMPUTED_VALUE"""),29.43838)</f>
        <v>29.43838</v>
      </c>
    </row>
    <row r="280" customFormat="false" ht="14.25" hidden="false" customHeight="true" outlineLevel="0" collapsed="false">
      <c r="D280" s="7" t="str">
        <f aca="false">IFERROR(__xludf.dummyfunction("""COMPUTED_VALUE"""),"CAT3 #2")</f>
        <v>CAT3 #2</v>
      </c>
      <c r="E280" s="7" t="n">
        <f aca="false">IFERROR(__xludf.dummyfunction("""COMPUTED_VALUE"""),-23.04072)</f>
        <v>-23.04072</v>
      </c>
      <c r="F280" s="7" t="n">
        <f aca="false">IFERROR(__xludf.dummyfunction("""COMPUTED_VALUE"""),31.16522)</f>
        <v>31.16522</v>
      </c>
    </row>
    <row r="281" customFormat="false" ht="14.25" hidden="false" customHeight="true" outlineLevel="0" collapsed="false">
      <c r="D281" s="7" t="str">
        <f aca="false">IFERROR(__xludf.dummyfunction("""COMPUTED_VALUE"""),"CAT3 #3")</f>
        <v>CAT3 #3</v>
      </c>
      <c r="E281" s="7" t="n">
        <f aca="false">IFERROR(__xludf.dummyfunction("""COMPUTED_VALUE"""),-23.02486)</f>
        <v>-23.02486</v>
      </c>
      <c r="F281" s="7" t="n">
        <f aca="false">IFERROR(__xludf.dummyfunction("""COMPUTED_VALUE"""),29.944027)</f>
        <v>29.944027</v>
      </c>
    </row>
    <row r="282" customFormat="false" ht="14.25" hidden="false" customHeight="true" outlineLevel="0" collapsed="false">
      <c r="D282" s="7" t="str">
        <f aca="false">IFERROR(__xludf.dummyfunction("""COMPUTED_VALUE"""),"CAT3 #4")</f>
        <v>CAT3 #4</v>
      </c>
      <c r="E282" s="7" t="n">
        <f aca="false">IFERROR(__xludf.dummyfunction("""COMPUTED_VALUE"""),-22.9448)</f>
        <v>-22.9448</v>
      </c>
      <c r="F282" s="7" t="n">
        <f aca="false">IFERROR(__xludf.dummyfunction("""COMPUTED_VALUE"""),29.93792)</f>
        <v>29.93792</v>
      </c>
    </row>
    <row r="283" customFormat="false" ht="14.25" hidden="false" customHeight="true" outlineLevel="0" collapsed="false">
      <c r="D283" s="7" t="str">
        <f aca="false">IFERROR(__xludf.dummyfunction("""COMPUTED_VALUE"""),"CAT3 #5")</f>
        <v>CAT3 #5</v>
      </c>
      <c r="E283" s="7" t="n">
        <f aca="false">IFERROR(__xludf.dummyfunction("""COMPUTED_VALUE"""),-23.94508)</f>
        <v>-23.94508</v>
      </c>
      <c r="F283" s="7" t="n">
        <f aca="false">IFERROR(__xludf.dummyfunction("""COMPUTED_VALUE"""),30.86838)</f>
        <v>30.86838</v>
      </c>
    </row>
    <row r="284" customFormat="false" ht="14.25" hidden="false" customHeight="true" outlineLevel="0" collapsed="false">
      <c r="D284" s="7" t="str">
        <f aca="false">IFERROR(__xludf.dummyfunction("""COMPUTED_VALUE"""),"CAT3 #6")</f>
        <v>CAT3 #6</v>
      </c>
      <c r="E284" s="7" t="n">
        <f aca="false">IFERROR(__xludf.dummyfunction("""COMPUTED_VALUE"""),-23.948919)</f>
        <v>-23.948919</v>
      </c>
      <c r="F284" s="7" t="n">
        <f aca="false">IFERROR(__xludf.dummyfunction("""COMPUTED_VALUE"""),30.86346)</f>
        <v>30.86346</v>
      </c>
    </row>
    <row r="285" customFormat="false" ht="14.25" hidden="false" customHeight="true" outlineLevel="0" collapsed="false">
      <c r="D285" s="7" t="str">
        <f aca="false">IFERROR(__xludf.dummyfunction("""COMPUTED_VALUE"""),"CAT6 #1")</f>
        <v>CAT6 #1</v>
      </c>
      <c r="E285" s="7" t="n">
        <f aca="false">IFERROR(__xludf.dummyfunction("""COMPUTED_VALUE"""),-23.947794)</f>
        <v>-23.947794</v>
      </c>
      <c r="F285" s="7" t="n">
        <f aca="false">IFERROR(__xludf.dummyfunction("""COMPUTED_VALUE"""),30.8729)</f>
        <v>30.8729</v>
      </c>
    </row>
    <row r="286" customFormat="false" ht="14.25" hidden="false" customHeight="true" outlineLevel="0" collapsed="false">
      <c r="D286" s="7" t="str">
        <f aca="false">IFERROR(__xludf.dummyfunction("""COMPUTED_VALUE"""),"CAT6 #2")</f>
        <v>CAT6 #2</v>
      </c>
      <c r="E286" s="7" t="n">
        <f aca="false">IFERROR(__xludf.dummyfunction("""COMPUTED_VALUE"""),-24.227122)</f>
        <v>-24.227122</v>
      </c>
      <c r="F286" s="7" t="n">
        <f aca="false">IFERROR(__xludf.dummyfunction("""COMPUTED_VALUE"""),31.432018)</f>
        <v>31.432018</v>
      </c>
    </row>
    <row r="287" customFormat="false" ht="14.25" hidden="false" customHeight="true" outlineLevel="0" collapsed="false">
      <c r="D287" s="7" t="str">
        <f aca="false">IFERROR(__xludf.dummyfunction("""COMPUTED_VALUE"""),"CAT6 #3")</f>
        <v>CAT6 #3</v>
      </c>
      <c r="E287" s="7" t="n">
        <f aca="false">IFERROR(__xludf.dummyfunction("""COMPUTED_VALUE"""),-24.58476)</f>
        <v>-24.58476</v>
      </c>
      <c r="F287" s="7" t="n">
        <f aca="false">IFERROR(__xludf.dummyfunction("""COMPUTED_VALUE"""),31.07365)</f>
        <v>31.07365</v>
      </c>
    </row>
    <row r="288" customFormat="false" ht="14.25" hidden="false" customHeight="true" outlineLevel="0" collapsed="false">
      <c r="D288" s="7" t="str">
        <f aca="false">IFERROR(__xludf.dummyfunction("""COMPUTED_VALUE"""),"CAT6 #4")</f>
        <v>CAT6 #4</v>
      </c>
      <c r="E288" s="7" t="n">
        <f aca="false">IFERROR(__xludf.dummyfunction("""COMPUTED_VALUE"""),-24.53408)</f>
        <v>-24.53408</v>
      </c>
      <c r="F288" s="7" t="n">
        <f aca="false">IFERROR(__xludf.dummyfunction("""COMPUTED_VALUE"""),31.04065)</f>
        <v>31.04065</v>
      </c>
    </row>
    <row r="289" customFormat="false" ht="14.25" hidden="false" customHeight="true" outlineLevel="0" collapsed="false">
      <c r="D289" s="7" t="str">
        <f aca="false">IFERROR(__xludf.dummyfunction("""COMPUTED_VALUE"""),"CAT6 #5")</f>
        <v>CAT6 #5</v>
      </c>
      <c r="E289" s="7" t="n">
        <f aca="false">IFERROR(__xludf.dummyfunction("""COMPUTED_VALUE"""),-23.754868)</f>
        <v>-23.754868</v>
      </c>
      <c r="F289" s="7" t="n">
        <f aca="false">IFERROR(__xludf.dummyfunction("""COMPUTED_VALUE"""),31.149446)</f>
        <v>31.149446</v>
      </c>
    </row>
    <row r="290" customFormat="false" ht="14.25" hidden="false" customHeight="true" outlineLevel="0" collapsed="false">
      <c r="D290" s="7" t="str">
        <f aca="false">IFERROR(__xludf.dummyfunction("""COMPUTED_VALUE"""),"CAT6 #6")</f>
        <v>CAT6 #6</v>
      </c>
      <c r="E290" s="7" t="n">
        <f aca="false">IFERROR(__xludf.dummyfunction("""COMPUTED_VALUE"""),-23.86634)</f>
        <v>-23.86634</v>
      </c>
      <c r="F290" s="7" t="n">
        <f aca="false">IFERROR(__xludf.dummyfunction("""COMPUTED_VALUE"""),30.828917)</f>
        <v>30.828917</v>
      </c>
    </row>
    <row r="291" customFormat="false" ht="14.25" hidden="false" customHeight="true" outlineLevel="0" collapsed="false">
      <c r="D291" s="7" t="str">
        <f aca="false">IFERROR(__xludf.dummyfunction("""COMPUTED_VALUE"""),"CAT9 #1")</f>
        <v>CAT9 #1</v>
      </c>
      <c r="E291" s="7" t="n">
        <f aca="false">IFERROR(__xludf.dummyfunction("""COMPUTED_VALUE"""),-23.93822)</f>
        <v>-23.93822</v>
      </c>
      <c r="F291" s="7" t="n">
        <f aca="false">IFERROR(__xludf.dummyfunction("""COMPUTED_VALUE"""),30.947585)</f>
        <v>30.947585</v>
      </c>
    </row>
    <row r="292" customFormat="false" ht="14.25" hidden="false" customHeight="true" outlineLevel="0" collapsed="false">
      <c r="D292" s="7" t="str">
        <f aca="false">IFERROR(__xludf.dummyfunction("""COMPUTED_VALUE"""),"CAT9 #2")</f>
        <v>CAT9 #2</v>
      </c>
      <c r="E292" s="7" t="n">
        <f aca="false">IFERROR(__xludf.dummyfunction("""COMPUTED_VALUE"""),-23.984913)</f>
        <v>-23.984913</v>
      </c>
      <c r="F292" s="7" t="n">
        <f aca="false">IFERROR(__xludf.dummyfunction("""COMPUTED_VALUE"""),31.139835)</f>
        <v>31.139835</v>
      </c>
    </row>
    <row r="293" customFormat="false" ht="14.25" hidden="false" customHeight="true" outlineLevel="0" collapsed="false">
      <c r="D293" s="7" t="str">
        <f aca="false">IFERROR(__xludf.dummyfunction("""COMPUTED_VALUE"""),"CAT9 #3")</f>
        <v>CAT9 #3</v>
      </c>
      <c r="E293" s="7" t="n">
        <f aca="false">IFERROR(__xludf.dummyfunction("""COMPUTED_VALUE"""),-24.155913)</f>
        <v>-24.155913</v>
      </c>
      <c r="F293" s="7" t="n">
        <f aca="false">IFERROR(__xludf.dummyfunction("""COMPUTED_VALUE"""),31.142074)</f>
        <v>31.142074</v>
      </c>
    </row>
    <row r="294" customFormat="false" ht="14.25" hidden="false" customHeight="true" outlineLevel="0" collapsed="false">
      <c r="D294" s="7" t="str">
        <f aca="false">IFERROR(__xludf.dummyfunction("""COMPUTED_VALUE"""),"CAT9 #4")</f>
        <v>CAT9 #4</v>
      </c>
      <c r="E294" s="7" t="n">
        <f aca="false">IFERROR(__xludf.dummyfunction("""COMPUTED_VALUE"""),-24.36084)</f>
        <v>-24.36084</v>
      </c>
      <c r="F294" s="7" t="n">
        <f aca="false">IFERROR(__xludf.dummyfunction("""COMPUTED_VALUE"""),31.573162)</f>
        <v>31.573162</v>
      </c>
    </row>
    <row r="295" customFormat="false" ht="14.25" hidden="false" customHeight="true" outlineLevel="0" collapsed="false">
      <c r="D295" s="7" t="str">
        <f aca="false">IFERROR(__xludf.dummyfunction("""COMPUTED_VALUE"""),"CAT9 #5")</f>
        <v>CAT9 #5</v>
      </c>
      <c r="E295" s="7" t="n">
        <f aca="false">IFERROR(__xludf.dummyfunction("""COMPUTED_VALUE"""),-23.931972)</f>
        <v>-23.931972</v>
      </c>
      <c r="F295" s="7" t="n">
        <f aca="false">IFERROR(__xludf.dummyfunction("""COMPUTED_VALUE"""),31.97681)</f>
        <v>31.97681</v>
      </c>
    </row>
    <row r="296" customFormat="false" ht="14.25" hidden="false" customHeight="true" outlineLevel="0" collapsed="false">
      <c r="D296" s="7" t="str">
        <f aca="false">IFERROR(__xludf.dummyfunction("""COMPUTED_VALUE"""),"CAT9 #6")</f>
        <v>CAT9 #6</v>
      </c>
      <c r="E296" s="7" t="n">
        <f aca="false">IFERROR(__xludf.dummyfunction("""COMPUTED_VALUE"""),-23.952143)</f>
        <v>-23.952143</v>
      </c>
      <c r="F296" s="7" t="n">
        <f aca="false">IFERROR(__xludf.dummyfunction("""COMPUTED_VALUE"""),31.048293)</f>
        <v>31.048293</v>
      </c>
    </row>
    <row r="297" customFormat="false" ht="14.25" hidden="false" customHeight="true" outlineLevel="0" collapsed="false">
      <c r="D297" s="7" t="str">
        <f aca="false">IFERROR(__xludf.dummyfunction("""COMPUTED_VALUE"""),"Cleared area - Surface Renewal system")</f>
        <v>Cleared area - Surface Renewal system</v>
      </c>
      <c r="E297" s="7" t="n">
        <f aca="false">IFERROR(__xludf.dummyfunction("""COMPUTED_VALUE"""),-23.851904)</f>
        <v>-23.851904</v>
      </c>
      <c r="F297" s="7" t="n">
        <f aca="false">IFERROR(__xludf.dummyfunction("""COMPUTED_VALUE"""),31.033797)</f>
        <v>31.033797</v>
      </c>
    </row>
    <row r="298" customFormat="false" ht="14.25" hidden="false" customHeight="true" outlineLevel="0" collapsed="false">
      <c r="D298" s="7" t="str">
        <f aca="false">IFERROR(__xludf.dummyfunction("""COMPUTED_VALUE"""),"Cleared area - MET station")</f>
        <v>Cleared area - MET station</v>
      </c>
      <c r="E298" s="7" t="n">
        <f aca="false">IFERROR(__xludf.dummyfunction("""COMPUTED_VALUE"""),-24.47241)</f>
        <v>-24.47241</v>
      </c>
      <c r="F298" s="7" t="n">
        <f aca="false">IFERROR(__xludf.dummyfunction("""COMPUTED_VALUE"""),30.979352)</f>
        <v>30.979352</v>
      </c>
    </row>
    <row r="299" customFormat="false" ht="14.25" hidden="false" customHeight="true" outlineLevel="0" collapsed="false">
      <c r="D299" s="7" t="str">
        <f aca="false">IFERROR(__xludf.dummyfunction("""COMPUTED_VALUE"""),"Enchroached area - Surface Renewal system")</f>
        <v>Enchroached area - Surface Renewal system</v>
      </c>
      <c r="E299" s="7" t="n">
        <f aca="false">IFERROR(__xludf.dummyfunction("""COMPUTED_VALUE"""),-23.552342)</f>
        <v>-23.552342</v>
      </c>
      <c r="F299" s="7" t="n">
        <f aca="false">IFERROR(__xludf.dummyfunction("""COMPUTED_VALUE"""),24.538164)</f>
        <v>24.538164</v>
      </c>
    </row>
    <row r="300" customFormat="false" ht="14.25" hidden="false" customHeight="true" outlineLevel="0" collapsed="false">
      <c r="D300" s="7" t="str">
        <f aca="false">IFERROR(__xludf.dummyfunction("""COMPUTED_VALUE"""),"saw_office")</f>
        <v>saw_office</v>
      </c>
      <c r="E300" s="7" t="n">
        <f aca="false">IFERROR(__xludf.dummyfunction("""COMPUTED_VALUE"""),-23.661859)</f>
        <v>-23.661859</v>
      </c>
      <c r="F300" s="7" t="n">
        <f aca="false">IFERROR(__xludf.dummyfunction("""COMPUTED_VALUE"""),24.8641)</f>
        <v>24.8641</v>
      </c>
    </row>
    <row r="301" customFormat="false" ht="14.25" hidden="false" customHeight="true" outlineLevel="0" collapsed="false">
      <c r="D301" s="7" t="str">
        <f aca="false">IFERROR(__xludf.dummyfunction("""COMPUTED_VALUE"""),"wel_patrick")</f>
        <v>wel_patrick</v>
      </c>
      <c r="E301" s="7" t="n">
        <f aca="false">IFERROR(__xludf.dummyfunction("""COMPUTED_VALUE"""),-23.670688)</f>
        <v>-23.670688</v>
      </c>
      <c r="F301" s="7" t="n">
        <f aca="false">IFERROR(__xludf.dummyfunction("""COMPUTED_VALUE"""),22.267964)</f>
        <v>22.267964</v>
      </c>
    </row>
    <row r="302" customFormat="false" ht="14.25" hidden="false" customHeight="true" outlineLevel="0" collapsed="false">
      <c r="D302" s="7" t="str">
        <f aca="false">IFERROR(__xludf.dummyfunction("""COMPUTED_VALUE"""),"maj_school")</f>
        <v>maj_school</v>
      </c>
      <c r="E302" s="7" t="n">
        <f aca="false">IFERROR(__xludf.dummyfunction("""COMPUTED_VALUE"""),-31.756004)</f>
        <v>-31.756004</v>
      </c>
      <c r="F302" s="7" t="n">
        <f aca="false">IFERROR(__xludf.dummyfunction("""COMPUTED_VALUE"""),22.02991)</f>
        <v>22.02991</v>
      </c>
    </row>
    <row r="303" customFormat="false" ht="14.25" hidden="false" customHeight="true" outlineLevel="0" collapsed="false">
      <c r="D303" s="7" t="str">
        <f aca="false">IFERROR(__xludf.dummyfunction("""COMPUTED_VALUE"""),"laj_12N")</f>
        <v>laj_12N</v>
      </c>
      <c r="E303" s="7" t="n">
        <f aca="false">IFERROR(__xludf.dummyfunction("""COMPUTED_VALUE"""),-28.8924)</f>
        <v>-28.8924</v>
      </c>
      <c r="F303" s="7" t="n">
        <f aca="false">IFERROR(__xludf.dummyfunction("""COMPUTED_VALUE"""),19.9515)</f>
        <v>19.9515</v>
      </c>
    </row>
    <row r="304" customFormat="false" ht="14.25" hidden="false" customHeight="true" outlineLevel="0" collapsed="false">
      <c r="D304" s="7" t="str">
        <f aca="false">IFERROR(__xludf.dummyfunction("""COMPUTED_VALUE"""),"laj_12S")</f>
        <v>laj_12S</v>
      </c>
      <c r="E304" s="7" t="n">
        <f aca="false">IFERROR(__xludf.dummyfunction("""COMPUTED_VALUE"""),-33.166143)</f>
        <v>-33.166143</v>
      </c>
      <c r="F304" s="7" t="n">
        <f aca="false">IFERROR(__xludf.dummyfunction("""COMPUTED_VALUE"""),19.79825)</f>
        <v>19.79825</v>
      </c>
    </row>
    <row r="305" customFormat="false" ht="14.25" hidden="false" customHeight="true" outlineLevel="0" collapsed="false">
      <c r="D305" s="7" t="str">
        <f aca="false">IFERROR(__xludf.dummyfunction("""COMPUTED_VALUE"""),"laj_17N")</f>
        <v>laj_17N</v>
      </c>
      <c r="E305" s="7" t="n">
        <f aca="false">IFERROR(__xludf.dummyfunction("""COMPUTED_VALUE"""),-33.196838)</f>
        <v>-33.196838</v>
      </c>
      <c r="F305" s="7" t="n">
        <f aca="false">IFERROR(__xludf.dummyfunction("""COMPUTED_VALUE"""),19.86482)</f>
        <v>19.86482</v>
      </c>
    </row>
    <row r="306" customFormat="false" ht="14.25" hidden="false" customHeight="true" outlineLevel="0" collapsed="false">
      <c r="D306" s="7" t="str">
        <f aca="false">IFERROR(__xludf.dummyfunction("""COMPUTED_VALUE"""),"laj_8N")</f>
        <v>laj_8N</v>
      </c>
      <c r="E306" s="7" t="n">
        <f aca="false">IFERROR(__xludf.dummyfunction("""COMPUTED_VALUE"""),-34.72178)</f>
        <v>-34.72178</v>
      </c>
      <c r="F306" s="7" t="n">
        <f aca="false">IFERROR(__xludf.dummyfunction("""COMPUTED_VALUE"""),19.85585)</f>
        <v>19.85585</v>
      </c>
    </row>
    <row r="307" customFormat="false" ht="14.25" hidden="false" customHeight="true" outlineLevel="0" collapsed="false">
      <c r="D307" s="7" t="str">
        <f aca="false">IFERROR(__xludf.dummyfunction("""COMPUTED_VALUE"""),"laj_8N_2")</f>
        <v>laj_8N_2</v>
      </c>
      <c r="E307" s="7" t="n">
        <f aca="false">IFERROR(__xludf.dummyfunction("""COMPUTED_VALUE"""),-34.60474)</f>
        <v>-34.60474</v>
      </c>
      <c r="F307" s="7" t="n">
        <f aca="false">IFERROR(__xludf.dummyfunction("""COMPUTED_VALUE"""),31.005508751)</f>
        <v>31.00550875</v>
      </c>
    </row>
    <row r="308" customFormat="false" ht="14.25" hidden="false" customHeight="true" outlineLevel="0" collapsed="false">
      <c r="D308" s="7" t="str">
        <f aca="false">IFERROR(__xludf.dummyfunction("""COMPUTED_VALUE"""),"pha_saeon")</f>
        <v>pha_saeon</v>
      </c>
      <c r="E308" s="7" t="n">
        <f aca="false">IFERROR(__xludf.dummyfunction("""COMPUTED_VALUE"""),-34.63398)</f>
        <v>-34.63398</v>
      </c>
      <c r="F308" s="7" t="n">
        <f aca="false">IFERROR(__xludf.dummyfunction("""COMPUTED_VALUE"""),31.005498881)</f>
        <v>31.00549888</v>
      </c>
    </row>
    <row r="309" customFormat="false" ht="14.25" hidden="false" customHeight="true" outlineLevel="0" collapsed="false">
      <c r="D309" s="7" t="str">
        <f aca="false">IFERROR(__xludf.dummyfunction("""COMPUTED_VALUE"""),"hae_tower")</f>
        <v>hae_tower</v>
      </c>
      <c r="E309" s="7" t="n">
        <f aca="false">IFERROR(__xludf.dummyfunction("""COMPUTED_VALUE"""),-34.63789)</f>
        <v>-34.63789</v>
      </c>
      <c r="F309" s="7" t="n">
        <f aca="false">IFERROR(__xludf.dummyfunction("""COMPUTED_VALUE"""),31.004662622)</f>
        <v>31.00466262</v>
      </c>
    </row>
    <row r="310" customFormat="false" ht="14.25" hidden="false" customHeight="true" outlineLevel="0" collapsed="false">
      <c r="D310" s="7" t="str">
        <f aca="false">IFERROR(__xludf.dummyfunction("""COMPUTED_VALUE"""),"hae_tower_2")</f>
        <v>hae_tower_2</v>
      </c>
      <c r="E310" s="7" t="n">
        <f aca="false">IFERROR(__xludf.dummyfunction("""COMPUTED_VALUE"""),-23.674299259)</f>
        <v>-23.67429926</v>
      </c>
      <c r="F310" s="7" t="n">
        <f aca="false">IFERROR(__xludf.dummyfunction("""COMPUTED_VALUE"""),31.016633354)</f>
        <v>31.01663335</v>
      </c>
    </row>
    <row r="311" customFormat="false" ht="14.25" hidden="false" customHeight="true" outlineLevel="0" collapsed="false">
      <c r="D311" s="7" t="str">
        <f aca="false">IFERROR(__xludf.dummyfunction("""COMPUTED_VALUE"""),"hae_tower_3")</f>
        <v>hae_tower_3</v>
      </c>
      <c r="E311" s="7" t="n">
        <f aca="false">IFERROR(__xludf.dummyfunction("""COMPUTED_VALUE"""),-23.674297937)</f>
        <v>-23.67429794</v>
      </c>
      <c r="F311" s="7" t="n">
        <f aca="false">IFERROR(__xludf.dummyfunction("""COMPUTED_VALUE"""),31.016568496)</f>
        <v>31.0165685</v>
      </c>
    </row>
    <row r="312" customFormat="false" ht="14.25" hidden="false" customHeight="true" outlineLevel="0" collapsed="false">
      <c r="D312" s="7" t="str">
        <f aca="false">IFERROR(__xludf.dummyfunction("""COMPUTED_VALUE"""),"oli_west_res")</f>
        <v>oli_west_res</v>
      </c>
      <c r="E312" s="7" t="n">
        <f aca="false">IFERROR(__xludf.dummyfunction("""COMPUTED_VALUE"""),-23.674764519)</f>
        <v>-23.67476452</v>
      </c>
      <c r="F312" s="7" t="n">
        <f aca="false">IFERROR(__xludf.dummyfunction("""COMPUTED_VALUE"""),31.016672592)</f>
        <v>31.01667259</v>
      </c>
    </row>
    <row r="313" customFormat="false" ht="14.25" hidden="false" customHeight="true" outlineLevel="0" collapsed="false">
      <c r="D313" s="7" t="str">
        <f aca="false">IFERROR(__xludf.dummyfunction("""COMPUTED_VALUE"""),"mar_13S")</f>
        <v>mar_13S</v>
      </c>
      <c r="E313" s="7" t="n">
        <f aca="false">IFERROR(__xludf.dummyfunction("""COMPUTED_VALUE"""),-23.669515034)</f>
        <v>-23.66951503</v>
      </c>
      <c r="F313" s="7" t="n">
        <f aca="false">IFERROR(__xludf.dummyfunction("""COMPUTED_VALUE"""),31.01621572)</f>
        <v>31.01621572</v>
      </c>
    </row>
    <row r="314" customFormat="false" ht="14.25" hidden="false" customHeight="true" outlineLevel="0" collapsed="false">
      <c r="D314" s="7" t="str">
        <f aca="false">IFERROR(__xludf.dummyfunction("""COMPUTED_VALUE"""),"mar_16N")</f>
        <v>mar_16N</v>
      </c>
      <c r="E314" s="7" t="n">
        <f aca="false">IFERROR(__xludf.dummyfunction("""COMPUTED_VALUE"""),-23.669519698)</f>
        <v>-23.6695197</v>
      </c>
      <c r="F314" s="7" t="n">
        <f aca="false">IFERROR(__xludf.dummyfunction("""COMPUTED_VALUE"""),31.016260718)</f>
        <v>31.01626072</v>
      </c>
    </row>
    <row r="315" customFormat="false" ht="14.25" hidden="false" customHeight="true" outlineLevel="0" collapsed="false">
      <c r="D315" s="7" t="str">
        <f aca="false">IFERROR(__xludf.dummyfunction("""COMPUTED_VALUE"""),"knp_let_exclosure")</f>
        <v>knp_let_exclosure</v>
      </c>
      <c r="E315" s="7" t="n">
        <f aca="false">IFERROR(__xludf.dummyfunction("""COMPUTED_VALUE"""),-23.669494574)</f>
        <v>-23.66949457</v>
      </c>
      <c r="F315" s="7" t="n">
        <f aca="false">IFERROR(__xludf.dummyfunction("""COMPUTED_VALUE"""),31.005063317)</f>
        <v>31.00506332</v>
      </c>
    </row>
    <row r="316" customFormat="false" ht="14.25" hidden="false" customHeight="true" outlineLevel="0" collapsed="false">
      <c r="D316" s="7" t="str">
        <f aca="false">IFERROR(__xludf.dummyfunction("""COMPUTED_VALUE"""),"knp_let_exclosure_2")</f>
        <v>knp_let_exclosure_2</v>
      </c>
      <c r="E316" s="7" t="n">
        <f aca="false">IFERROR(__xludf.dummyfunction("""COMPUTED_VALUE"""),-23.667002914)</f>
        <v>-23.66700291</v>
      </c>
      <c r="F316" s="7" t="n">
        <f aca="false">IFERROR(__xludf.dummyfunction("""COMPUTED_VALUE"""),31.005053265)</f>
        <v>31.00505327</v>
      </c>
    </row>
    <row r="317" customFormat="false" ht="14.25" hidden="false" customHeight="true" outlineLevel="0" collapsed="false">
      <c r="D317" s="7" t="str">
        <f aca="false">IFERROR(__xludf.dummyfunction("""COMPUTED_VALUE"""),"pha_nkateko")</f>
        <v>pha_nkateko</v>
      </c>
      <c r="E317" s="7" t="n">
        <f aca="false">IFERROR(__xludf.dummyfunction("""COMPUTED_VALUE"""),-23.6670697)</f>
        <v>-23.6670697</v>
      </c>
      <c r="F317" s="7" t="n">
        <f aca="false">IFERROR(__xludf.dummyfunction("""COMPUTED_VALUE"""),31.017841574)</f>
        <v>31.01784157</v>
      </c>
    </row>
    <row r="318" customFormat="false" ht="14.25" hidden="false" customHeight="true" outlineLevel="0" collapsed="false">
      <c r="D318" s="7" t="str">
        <f aca="false">IFERROR(__xludf.dummyfunction("""COMPUTED_VALUE"""),"pha_seba")</f>
        <v>pha_seba</v>
      </c>
      <c r="E318" s="7" t="n">
        <f aca="false">IFERROR(__xludf.dummyfunction("""COMPUTED_VALUE"""),-23.67741213)</f>
        <v>-23.67741213</v>
      </c>
      <c r="F318" s="7" t="n">
        <f aca="false">IFERROR(__xludf.dummyfunction("""COMPUTED_VALUE"""),31.017884338)</f>
        <v>31.01788434</v>
      </c>
    </row>
    <row r="319" customFormat="false" ht="14.25" hidden="false" customHeight="true" outlineLevel="0" collapsed="false">
      <c r="D319" s="7" t="str">
        <f aca="false">IFERROR(__xludf.dummyfunction("""COMPUTED_VALUE"""),"pha_pc_sheq")</f>
        <v>pha_pc_sheq</v>
      </c>
      <c r="E319" s="7" t="n">
        <f aca="false">IFERROR(__xludf.dummyfunction("""COMPUTED_VALUE"""),-23.677413088)</f>
        <v>-23.67741309</v>
      </c>
      <c r="F319" s="7" t="n">
        <f aca="false">IFERROR(__xludf.dummyfunction("""COMPUTED_VALUE"""),31.017831282)</f>
        <v>31.01783128</v>
      </c>
    </row>
    <row r="320" customFormat="false" ht="14.25" hidden="false" customHeight="true" outlineLevel="0" collapsed="false">
      <c r="D320" s="7" t="str">
        <f aca="false">IFERROR(__xludf.dummyfunction("""COMPUTED_VALUE"""),"mica_station")</f>
        <v>mica_station</v>
      </c>
      <c r="E320" s="7" t="n">
        <f aca="false">IFERROR(__xludf.dummyfunction("""COMPUTED_VALUE"""),-23.67124507)</f>
        <v>-23.67124507</v>
      </c>
      <c r="F320" s="7" t="n">
        <f aca="false">IFERROR(__xludf.dummyfunction("""COMPUTED_VALUE"""),31.01883195)</f>
        <v>31.01883195</v>
      </c>
    </row>
    <row r="321" customFormat="false" ht="14.25" hidden="false" customHeight="true" outlineLevel="0" collapsed="false">
      <c r="D321" s="7" t="str">
        <f aca="false">IFERROR(__xludf.dummyfunction("""COMPUTED_VALUE"""),"hoed_scs")</f>
        <v>hoed_scs</v>
      </c>
      <c r="E321" s="7" t="n">
        <f aca="false">IFERROR(__xludf.dummyfunction("""COMPUTED_VALUE"""),-23.671308501)</f>
        <v>-23.6713085</v>
      </c>
      <c r="F321" s="7" t="n">
        <f aca="false">IFERROR(__xludf.dummyfunction("""COMPUTED_VALUE"""),31.01885731)</f>
        <v>31.01885731</v>
      </c>
    </row>
    <row r="322" customFormat="false" ht="14.25" hidden="false" customHeight="true" outlineLevel="0" collapsed="false">
      <c r="D322" s="7" t="str">
        <f aca="false">IFERROR(__xludf.dummyfunction("""COMPUTED_VALUE"""),"pha_fdt")</f>
        <v>pha_fdt</v>
      </c>
      <c r="E322" s="7" t="n">
        <f aca="false">IFERROR(__xludf.dummyfunction("""COMPUTED_VALUE"""),-23.671222963)</f>
        <v>-23.67122296</v>
      </c>
      <c r="F322" s="7" t="n">
        <f aca="false">IFERROR(__xludf.dummyfunction("""COMPUTED_VALUE"""),31.046823055)</f>
        <v>31.04682306</v>
      </c>
    </row>
    <row r="323" customFormat="false" ht="14.25" hidden="false" customHeight="true" outlineLevel="0" collapsed="false">
      <c r="D323" s="7" t="str">
        <f aca="false">IFERROR(__xludf.dummyfunction("""COMPUTED_VALUE"""),"pha_kfps")</f>
        <v>pha_kfps</v>
      </c>
      <c r="E323" s="7" t="n">
        <f aca="false">IFERROR(__xludf.dummyfunction("""COMPUTED_VALUE"""),-23.673002919)</f>
        <v>-23.67300292</v>
      </c>
      <c r="F323" s="7" t="n">
        <f aca="false">IFERROR(__xludf.dummyfunction("""COMPUTED_VALUE"""),31.046805745)</f>
        <v>31.04680575</v>
      </c>
    </row>
    <row r="324" customFormat="false" ht="14.25" hidden="false" customHeight="true" outlineLevel="0" collapsed="false">
      <c r="D324" s="7" t="str">
        <f aca="false">IFERROR(__xludf.dummyfunction("""COMPUTED_VALUE"""),"knp_letaba")</f>
        <v>knp_letaba</v>
      </c>
      <c r="E324" s="7" t="n">
        <f aca="false">IFERROR(__xludf.dummyfunction("""COMPUTED_VALUE"""),-23.673047435)</f>
        <v>-23.67304744</v>
      </c>
      <c r="F324" s="7" t="n">
        <f aca="false">IFERROR(__xludf.dummyfunction("""COMPUTED_VALUE"""),31.045922747)</f>
        <v>31.04592275</v>
      </c>
    </row>
    <row r="325" customFormat="false" ht="14.25" hidden="false" customHeight="true" outlineLevel="0" collapsed="false">
      <c r="D325" s="7" t="str">
        <f aca="false">IFERROR(__xludf.dummyfunction("""COMPUTED_VALUE"""),"knp_nwanetsi")</f>
        <v>knp_nwanetsi</v>
      </c>
      <c r="E325" s="7" t="n">
        <f aca="false">IFERROR(__xludf.dummyfunction("""COMPUTED_VALUE"""),-23.661769123)</f>
        <v>-23.66176912</v>
      </c>
      <c r="F325" s="7" t="n">
        <f aca="false">IFERROR(__xludf.dummyfunction("""COMPUTED_VALUE"""),31.045961774)</f>
        <v>31.04596177</v>
      </c>
    </row>
    <row r="326" customFormat="false" ht="14.25" hidden="false" customHeight="true" outlineLevel="0" collapsed="false">
      <c r="D326" s="7" t="str">
        <f aca="false">IFERROR(__xludf.dummyfunction("""COMPUTED_VALUE"""),"mth_pha")</f>
        <v>mth_pha</v>
      </c>
      <c r="E326" s="7" t="n">
        <f aca="false">IFERROR(__xludf.dummyfunction("""COMPUTED_VALUE"""),-23.661764275)</f>
        <v>-23.66176428</v>
      </c>
      <c r="F326" s="7" t="n">
        <f aca="false">IFERROR(__xludf.dummyfunction("""COMPUTED_VALUE"""),31.040506466)</f>
        <v>31.04050647</v>
      </c>
    </row>
    <row r="327" customFormat="false" ht="14.25" hidden="false" customHeight="true" outlineLevel="0" collapsed="false">
      <c r="D327" s="7" t="str">
        <f aca="false">IFERROR(__xludf.dummyfunction("""COMPUTED_VALUE"""),"mth_camp")</f>
        <v>mth_camp</v>
      </c>
      <c r="E327" s="7" t="n">
        <f aca="false">IFERROR(__xludf.dummyfunction("""COMPUTED_VALUE"""),-23.66293473)</f>
        <v>-23.66293473</v>
      </c>
      <c r="F327" s="7" t="n">
        <f aca="false">IFERROR(__xludf.dummyfunction("""COMPUTED_VALUE"""),31.040511463)</f>
        <v>31.04051146</v>
      </c>
    </row>
    <row r="328" customFormat="false" ht="14.25" hidden="false" customHeight="true" outlineLevel="0" collapsed="false">
      <c r="D328" s="7" t="str">
        <f aca="false">IFERROR(__xludf.dummyfunction("""COMPUTED_VALUE"""),"mth_mahale")</f>
        <v>mth_mahale</v>
      </c>
      <c r="E328" s="7" t="n">
        <f aca="false">IFERROR(__xludf.dummyfunction("""COMPUTED_VALUE"""),-23.662913645)</f>
        <v>-23.66291365</v>
      </c>
      <c r="F328" s="7" t="n">
        <f aca="false">IFERROR(__xludf.dummyfunction("""COMPUTED_VALUE"""),31.047126602)</f>
        <v>31.0471266</v>
      </c>
    </row>
    <row r="329" customFormat="false" ht="14.25" hidden="false" customHeight="true" outlineLevel="0" collapsed="false">
      <c r="D329" s="7" t="str">
        <f aca="false">IFERROR(__xludf.dummyfunction("""COMPUTED_VALUE"""),"Compassberg AWS")</f>
        <v>Compassberg AWS</v>
      </c>
      <c r="E329" s="7" t="n">
        <f aca="false">IFERROR(__xludf.dummyfunction("""COMPUTED_VALUE"""),-23.666323042)</f>
        <v>-23.66632304</v>
      </c>
      <c r="F329" s="7" t="n">
        <f aca="false">IFERROR(__xludf.dummyfunction("""COMPUTED_VALUE"""),31.04241163)</f>
        <v>31.04241163</v>
      </c>
    </row>
    <row r="330" customFormat="false" ht="14.25" hidden="false" customHeight="true" outlineLevel="0" collapsed="false">
      <c r="D330" s="7" t="str">
        <f aca="false">IFERROR(__xludf.dummyfunction("""COMPUTED_VALUE"""),"Benfontein AWS")</f>
        <v>Benfontein AWS</v>
      </c>
      <c r="E330" s="7" t="n">
        <f aca="false">IFERROR(__xludf.dummyfunction("""COMPUTED_VALUE"""),-23.666330049)</f>
        <v>-23.66633005</v>
      </c>
      <c r="F330" s="7" t="n">
        <f aca="false">IFERROR(__xludf.dummyfunction("""COMPUTED_VALUE"""),31.042414074)</f>
        <v>31.04241407</v>
      </c>
    </row>
    <row r="331" customFormat="false" ht="14.25" hidden="false" customHeight="true" outlineLevel="0" collapsed="false">
      <c r="D331" s="7" t="str">
        <f aca="false">IFERROR(__xludf.dummyfunction("""COMPUTED_VALUE"""),"Tierberg AWS")</f>
        <v>Tierberg AWS</v>
      </c>
      <c r="E331" s="7" t="n">
        <f aca="false">IFERROR(__xludf.dummyfunction("""COMPUTED_VALUE"""),-23.661232653)</f>
        <v>-23.66123265</v>
      </c>
      <c r="F331" s="7" t="n">
        <f aca="false">IFERROR(__xludf.dummyfunction("""COMPUTED_VALUE"""),31.049551881)</f>
        <v>31.04955188</v>
      </c>
    </row>
    <row r="332" customFormat="false" ht="14.25" hidden="false" customHeight="true" outlineLevel="0" collapsed="false">
      <c r="D332" s="7" t="str">
        <f aca="false">IFERROR(__xludf.dummyfunction("""COMPUTED_VALUE"""),"Wolwekraal AWS")</f>
        <v>Wolwekraal AWS</v>
      </c>
      <c r="E332" s="7" t="n">
        <f aca="false">IFERROR(__xludf.dummyfunction("""COMPUTED_VALUE"""),-23.669463099)</f>
        <v>-23.6694631</v>
      </c>
      <c r="F332" s="7" t="n">
        <f aca="false">IFERROR(__xludf.dummyfunction("""COMPUTED_VALUE"""),31.049502905)</f>
        <v>31.04950291</v>
      </c>
    </row>
    <row r="333" customFormat="false" ht="14.25" hidden="false" customHeight="true" outlineLevel="0" collapsed="false">
      <c r="D333" s="7" t="str">
        <f aca="false">IFERROR(__xludf.dummyfunction("""COMPUTED_VALUE"""),"Soetendalsvlei inflow")</f>
        <v>Soetendalsvlei inflow</v>
      </c>
      <c r="E333" s="7" t="n">
        <f aca="false">IFERROR(__xludf.dummyfunction("""COMPUTED_VALUE"""),-23.669447874)</f>
        <v>-23.66944787</v>
      </c>
      <c r="F333" s="7" t="n">
        <f aca="false">IFERROR(__xludf.dummyfunction("""COMPUTED_VALUE"""),31.04866)</f>
        <v>31.04866</v>
      </c>
    </row>
    <row r="334" customFormat="false" ht="14.25" hidden="false" customHeight="true" outlineLevel="0" collapsed="false">
      <c r="D334" s="7" t="str">
        <f aca="false">IFERROR(__xludf.dummyfunction("""COMPUTED_VALUE"""),"Moddervlei")</f>
        <v>Moddervlei</v>
      </c>
      <c r="E334" s="7" t="n">
        <f aca="false">IFERROR(__xludf.dummyfunction("""COMPUTED_VALUE"""),-23.662268314)</f>
        <v>-23.66226831</v>
      </c>
      <c r="F334" s="7" t="n">
        <f aca="false">IFERROR(__xludf.dummyfunction("""COMPUTED_VALUE"""),31.048604409)</f>
        <v>31.04860441</v>
      </c>
    </row>
    <row r="335" customFormat="false" ht="14.25" hidden="false" customHeight="true" outlineLevel="0" collapsed="false">
      <c r="D335" s="7" t="str">
        <f aca="false">IFERROR(__xludf.dummyfunction("""COMPUTED_VALUE"""),"R43 Road Bridge")</f>
        <v>R43 Road Bridge</v>
      </c>
      <c r="E335" s="7" t="n">
        <f aca="false">IFERROR(__xludf.dummyfunction("""COMPUTED_VALUE"""),-23.66226981)</f>
        <v>-23.66226981</v>
      </c>
      <c r="F335" s="7" t="n">
        <f aca="false">IFERROR(__xludf.dummyfunction("""COMPUTED_VALUE"""),30.989554651)</f>
        <v>30.98955465</v>
      </c>
    </row>
    <row r="336" customFormat="false" ht="14.25" hidden="false" customHeight="true" outlineLevel="0" collapsed="false">
      <c r="D336" s="7" t="str">
        <f aca="false">IFERROR(__xludf.dummyfunction("""COMPUTED_VALUE"""),"Barologger")</f>
        <v>Barologger</v>
      </c>
      <c r="E336" s="7" t="n">
        <f aca="false">IFERROR(__xludf.dummyfunction("""COMPUTED_VALUE"""),-23.659273246)</f>
        <v>-23.65927325</v>
      </c>
      <c r="F336" s="7" t="n">
        <f aca="false">IFERROR(__xludf.dummyfunction("""COMPUTED_VALUE"""),30.894998)</f>
        <v>30.894998</v>
      </c>
    </row>
    <row r="337" customFormat="false" ht="14.25" hidden="false" customHeight="true" outlineLevel="0" collapsed="false">
      <c r="D337" s="7" t="str">
        <f aca="false">IFERROR(__xludf.dummyfunction("""COMPUTED_VALUE"""),"Karoo eddy covariance ")</f>
        <v>Karoo eddy covariance </v>
      </c>
      <c r="E337" s="7" t="n">
        <f aca="false">IFERROR(__xludf.dummyfunction("""COMPUTED_VALUE"""),-23.65996429)</f>
        <v>-23.65996429</v>
      </c>
      <c r="F337" s="7" t="n">
        <f aca="false">IFERROR(__xludf.dummyfunction("""COMPUTED_VALUE"""),30.87017)</f>
        <v>30.87017</v>
      </c>
    </row>
    <row r="338" customFormat="false" ht="14.25" hidden="false" customHeight="true" outlineLevel="0" collapsed="false">
      <c r="D338" s="7" t="str">
        <f aca="false">IFERROR(__xludf.dummyfunction("""COMPUTED_VALUE"""),"Savannah eddy covariance ")</f>
        <v>Savannah eddy covariance </v>
      </c>
      <c r="E338" s="7" t="n">
        <f aca="false">IFERROR(__xludf.dummyfunction("""COMPUTED_VALUE"""),-23.670703587)</f>
        <v>-23.67070359</v>
      </c>
      <c r="F338" s="7" t="n">
        <f aca="false">IFERROR(__xludf.dummyfunction("""COMPUTED_VALUE"""),30.871964)</f>
        <v>30.871964</v>
      </c>
    </row>
    <row r="339" customFormat="false" ht="14.25" hidden="false" customHeight="true" outlineLevel="0" collapsed="false">
      <c r="D339" s="7" t="str">
        <f aca="false">IFERROR(__xludf.dummyfunction("""COMPUTED_VALUE"""),"LF002A")</f>
        <v>LF002A</v>
      </c>
      <c r="E339" s="7" t="n">
        <f aca="false">IFERROR(__xludf.dummyfunction("""COMPUTED_VALUE"""),-24.5528)</f>
        <v>-24.5528</v>
      </c>
      <c r="F339" s="7" t="n">
        <f aca="false">IFERROR(__xludf.dummyfunction("""COMPUTED_VALUE"""),31.116587)</f>
        <v>31.116587</v>
      </c>
    </row>
    <row r="340" customFormat="false" ht="14.25" hidden="false" customHeight="true" outlineLevel="0" collapsed="false">
      <c r="D340" s="7" t="str">
        <f aca="false">IFERROR(__xludf.dummyfunction("""COMPUTED_VALUE"""),"LF002 B")</f>
        <v>LF002 B</v>
      </c>
      <c r="E340" s="7" t="n">
        <f aca="false">IFERROR(__xludf.dummyfunction("""COMPUTED_VALUE"""),-24.5531)</f>
        <v>-24.5531</v>
      </c>
      <c r="F340" s="7" t="n">
        <f aca="false">IFERROR(__xludf.dummyfunction("""COMPUTED_VALUE"""),31.116649)</f>
        <v>31.116649</v>
      </c>
    </row>
    <row r="341" customFormat="false" ht="14.25" hidden="false" customHeight="true" outlineLevel="0" collapsed="false">
      <c r="D341" s="7" t="str">
        <f aca="false">IFERROR(__xludf.dummyfunction("""COMPUTED_VALUE"""),"LF0021")</f>
        <v>LF0021</v>
      </c>
      <c r="E341" s="7" t="n">
        <f aca="false">IFERROR(__xludf.dummyfunction("""COMPUTED_VALUE"""),-24.6052)</f>
        <v>-24.6052</v>
      </c>
      <c r="F341" s="7" t="n">
        <f aca="false">IFERROR(__xludf.dummyfunction("""COMPUTED_VALUE"""),31.112234)</f>
        <v>31.112234</v>
      </c>
    </row>
    <row r="342" customFormat="false" ht="14.25" hidden="false" customHeight="true" outlineLevel="0" collapsed="false">
      <c r="D342" s="7" t="str">
        <f aca="false">IFERROR(__xludf.dummyfunction("""COMPUTED_VALUE"""),"LF003 A")</f>
        <v>LF003 A</v>
      </c>
      <c r="E342" s="7" t="n">
        <f aca="false">IFERROR(__xludf.dummyfunction("""COMPUTED_VALUE"""),-23.5255)</f>
        <v>-23.5255</v>
      </c>
      <c r="F342" s="7" t="n">
        <f aca="false">IFERROR(__xludf.dummyfunction("""COMPUTED_VALUE"""),31.112135)</f>
        <v>31.112135</v>
      </c>
    </row>
    <row r="343" customFormat="false" ht="14.25" hidden="false" customHeight="true" outlineLevel="0" collapsed="false">
      <c r="D343" s="7" t="str">
        <f aca="false">IFERROR(__xludf.dummyfunction("""COMPUTED_VALUE"""),"LF003 B")</f>
        <v>LF003 B</v>
      </c>
      <c r="E343" s="7" t="n">
        <f aca="false">IFERROR(__xludf.dummyfunction("""COMPUTED_VALUE"""),-23.5249)</f>
        <v>-23.5249</v>
      </c>
      <c r="F343" s="7" t="n">
        <f aca="false">IFERROR(__xludf.dummyfunction("""COMPUTED_VALUE"""),31.108974)</f>
        <v>31.108974</v>
      </c>
    </row>
    <row r="344" customFormat="false" ht="14.25" hidden="false" customHeight="true" outlineLevel="0" collapsed="false">
      <c r="D344" s="7" t="str">
        <f aca="false">IFERROR(__xludf.dummyfunction("""COMPUTED_VALUE"""),"LF003C")</f>
        <v>LF003C</v>
      </c>
      <c r="E344" s="7" t="n">
        <f aca="false">IFERROR(__xludf.dummyfunction("""COMPUTED_VALUE"""),-23.5268)</f>
        <v>-23.5268</v>
      </c>
      <c r="F344" s="7" t="n">
        <f aca="false">IFERROR(__xludf.dummyfunction("""COMPUTED_VALUE"""),31.109033)</f>
        <v>31.109033</v>
      </c>
    </row>
    <row r="345" customFormat="false" ht="14.25" hidden="false" customHeight="true" outlineLevel="0" collapsed="false">
      <c r="D345" s="7" t="str">
        <f aca="false">IFERROR(__xludf.dummyfunction("""COMPUTED_VALUE"""),"LF0031 A")</f>
        <v>LF0031 A</v>
      </c>
      <c r="E345" s="7" t="n">
        <f aca="false">IFERROR(__xludf.dummyfunction("""COMPUTED_VALUE"""),-23.5267)</f>
        <v>-23.5267</v>
      </c>
      <c r="F345" s="7" t="n">
        <f aca="false">IFERROR(__xludf.dummyfunction("""COMPUTED_VALUE"""),31.10913)</f>
        <v>31.10913</v>
      </c>
    </row>
    <row r="346" customFormat="false" ht="14.25" hidden="false" customHeight="true" outlineLevel="0" collapsed="false">
      <c r="D346" s="7" t="str">
        <f aca="false">IFERROR(__xludf.dummyfunction("""COMPUTED_VALUE"""),"LF0031 B")</f>
        <v>LF0031 B</v>
      </c>
      <c r="E346" s="7" t="str">
        <f aca="false">IFERROR(__xludf.dummyfunction("""COMPUTED_VALUE"""),"")</f>
        <v/>
      </c>
      <c r="F346" s="7" t="str">
        <f aca="false">IFERROR(__xludf.dummyfunction("""COMPUTED_VALUE"""),"")</f>
        <v/>
      </c>
    </row>
    <row r="347" customFormat="false" ht="14.25" hidden="false" customHeight="true" outlineLevel="0" collapsed="false">
      <c r="D347" s="7" t="str">
        <f aca="false">IFERROR(__xludf.dummyfunction("""COMPUTED_VALUE"""),"LF004 A")</f>
        <v>LF004 A</v>
      </c>
    </row>
    <row r="348" customFormat="false" ht="14.25" hidden="false" customHeight="true" outlineLevel="0" collapsed="false">
      <c r="D348" s="7" t="str">
        <f aca="false">IFERROR(__xludf.dummyfunction("""COMPUTED_VALUE"""),"LF004 B")</f>
        <v>LF004 B</v>
      </c>
    </row>
    <row r="349" customFormat="false" ht="14.25" hidden="false" customHeight="true" outlineLevel="0" collapsed="false">
      <c r="D349" s="7" t="str">
        <f aca="false">IFERROR(__xludf.dummyfunction("""COMPUTED_VALUE"""),"LF005 A")</f>
        <v>LF005 A</v>
      </c>
    </row>
    <row r="350" customFormat="false" ht="14.25" hidden="false" customHeight="true" outlineLevel="0" collapsed="false">
      <c r="D350" s="7" t="str">
        <f aca="false">IFERROR(__xludf.dummyfunction("""COMPUTED_VALUE"""),"LF005 B")</f>
        <v>LF005 B</v>
      </c>
    </row>
    <row r="351" customFormat="false" ht="14.25" hidden="false" customHeight="true" outlineLevel="0" collapsed="false">
      <c r="D351" s="7" t="str">
        <f aca="false">IFERROR(__xludf.dummyfunction("""COMPUTED_VALUE"""),"LF005 C")</f>
        <v>LF005 C</v>
      </c>
    </row>
    <row r="352" customFormat="false" ht="14.25" hidden="false" customHeight="true" outlineLevel="0" collapsed="false">
      <c r="D352" s="7" t="str">
        <f aca="false">IFERROR(__xludf.dummyfunction("""COMPUTED_VALUE"""),"LF0051 A")</f>
        <v>LF0051 A</v>
      </c>
    </row>
    <row r="353" customFormat="false" ht="14.25" hidden="false" customHeight="true" outlineLevel="0" collapsed="false">
      <c r="D353" s="7" t="str">
        <f aca="false">IFERROR(__xludf.dummyfunction("""COMPUTED_VALUE"""),"LF0051 B")</f>
        <v>LF0051 B</v>
      </c>
    </row>
    <row r="354" customFormat="false" ht="14.25" hidden="false" customHeight="true" outlineLevel="0" collapsed="false">
      <c r="D354" s="7" t="str">
        <f aca="false">IFERROR(__xludf.dummyfunction("""COMPUTED_VALUE"""),"LR001 A")</f>
        <v>LR001 A</v>
      </c>
    </row>
    <row r="355" customFormat="false" ht="14.25" hidden="false" customHeight="true" outlineLevel="0" collapsed="false">
      <c r="D355" s="7" t="str">
        <f aca="false">IFERROR(__xludf.dummyfunction("""COMPUTED_VALUE"""),"LR001 B")</f>
        <v>LR001 B</v>
      </c>
    </row>
    <row r="356" customFormat="false" ht="14.25" hidden="false" customHeight="true" outlineLevel="0" collapsed="false">
      <c r="D356" s="7" t="str">
        <f aca="false">IFERROR(__xludf.dummyfunction("""COMPUTED_VALUE"""),"LR0011 A")</f>
        <v>LR0011 A</v>
      </c>
    </row>
    <row r="357" customFormat="false" ht="14.25" hidden="false" customHeight="true" outlineLevel="0" collapsed="false">
      <c r="D357" s="7" t="str">
        <f aca="false">IFERROR(__xludf.dummyfunction("""COMPUTED_VALUE"""),"LR0011 B")</f>
        <v>LR0011 B</v>
      </c>
    </row>
    <row r="358" customFormat="false" ht="14.25" hidden="false" customHeight="true" outlineLevel="0" collapsed="false">
      <c r="D358" s="7" t="str">
        <f aca="false">IFERROR(__xludf.dummyfunction("""COMPUTED_VALUE"""),"LR002 A")</f>
        <v>LR002 A</v>
      </c>
    </row>
    <row r="359" customFormat="false" ht="14.25" hidden="false" customHeight="true" outlineLevel="0" collapsed="false">
      <c r="D359" s="7" t="str">
        <f aca="false">IFERROR(__xludf.dummyfunction("""COMPUTED_VALUE"""),"LR002 B")</f>
        <v>LR002 B</v>
      </c>
    </row>
    <row r="360" customFormat="false" ht="14.25" hidden="false" customHeight="true" outlineLevel="0" collapsed="false">
      <c r="D360" s="7" t="str">
        <f aca="false">IFERROR(__xludf.dummyfunction("""COMPUTED_VALUE"""),"LR003")</f>
        <v>LR003</v>
      </c>
    </row>
    <row r="361" customFormat="false" ht="14.25" hidden="false" customHeight="true" outlineLevel="0" collapsed="false">
      <c r="D361" s="7" t="str">
        <f aca="false">IFERROR(__xludf.dummyfunction("""COMPUTED_VALUE"""),"LR004 A")</f>
        <v>LR004 A</v>
      </c>
    </row>
    <row r="362" customFormat="false" ht="14.25" hidden="false" customHeight="true" outlineLevel="0" collapsed="false">
      <c r="D362" s="7" t="str">
        <f aca="false">IFERROR(__xludf.dummyfunction("""COMPUTED_VALUE"""),"LR004 B")</f>
        <v>LR004 B</v>
      </c>
    </row>
    <row r="363" customFormat="false" ht="14.25" hidden="false" customHeight="true" outlineLevel="0" collapsed="false">
      <c r="D363" s="7" t="str">
        <f aca="false">IFERROR(__xludf.dummyfunction("""COMPUTED_VALUE"""),"LR005 A")</f>
        <v>LR005 A</v>
      </c>
    </row>
    <row r="364" customFormat="false" ht="14.25" hidden="false" customHeight="true" outlineLevel="0" collapsed="false">
      <c r="D364" s="7" t="str">
        <f aca="false">IFERROR(__xludf.dummyfunction("""COMPUTED_VALUE"""),"LR005 B")</f>
        <v>LR005 B</v>
      </c>
    </row>
    <row r="365" customFormat="false" ht="14.25" hidden="false" customHeight="true" outlineLevel="0" collapsed="false">
      <c r="D365" s="7" t="str">
        <f aca="false">IFERROR(__xludf.dummyfunction("""COMPUTED_VALUE"""),"LRW001")</f>
        <v>LRW001</v>
      </c>
    </row>
    <row r="366" customFormat="false" ht="14.25" hidden="false" customHeight="true" outlineLevel="0" collapsed="false">
      <c r="D366" s="7" t="str">
        <f aca="false">IFERROR(__xludf.dummyfunction("""COMPUTED_VALUE"""),"LRW002")</f>
        <v>LRW002</v>
      </c>
    </row>
    <row r="367" customFormat="false" ht="14.25" hidden="false" customHeight="true" outlineLevel="0" collapsed="false">
      <c r="D367" s="7" t="str">
        <f aca="false">IFERROR(__xludf.dummyfunction("""COMPUTED_VALUE"""),"MAHALE-WEIR")</f>
        <v>MAHALE-WEIR</v>
      </c>
    </row>
    <row r="368" customFormat="false" ht="14.25" hidden="false" customHeight="true" outlineLevel="0" collapsed="false">
      <c r="D368" s="7" t="str">
        <f aca="false">IFERROR(__xludf.dummyfunction("""COMPUTED_VALUE"""),"Marieps_1")</f>
        <v>Marieps_1</v>
      </c>
    </row>
    <row r="369" customFormat="false" ht="14.25" hidden="false" customHeight="true" outlineLevel="0" collapsed="false">
      <c r="D369" s="7" t="str">
        <f aca="false">IFERROR(__xludf.dummyfunction("""COMPUTED_VALUE"""),"Marieps_1_mist")</f>
        <v>Marieps_1_mist</v>
      </c>
    </row>
    <row r="370" customFormat="false" ht="14.25" hidden="false" customHeight="true" outlineLevel="0" collapsed="false">
      <c r="D370" s="7" t="str">
        <f aca="false">IFERROR(__xludf.dummyfunction("""COMPUTED_VALUE"""),"Marieps_2")</f>
        <v>Marieps_2</v>
      </c>
    </row>
    <row r="371" customFormat="false" ht="14.25" hidden="false" customHeight="true" outlineLevel="0" collapsed="false">
      <c r="D371" s="7" t="str">
        <f aca="false">IFERROR(__xludf.dummyfunction("""COMPUTED_VALUE"""),"Marieps_3")</f>
        <v>Marieps_3</v>
      </c>
    </row>
    <row r="372" customFormat="false" ht="14.25" hidden="false" customHeight="true" outlineLevel="0" collapsed="false">
      <c r="D372" s="7" t="str">
        <f aca="false">IFERROR(__xludf.dummyfunction("""COMPUTED_VALUE"""),"Mth_1cut")</f>
        <v>Mth_1cut</v>
      </c>
    </row>
    <row r="373" customFormat="false" ht="14.25" hidden="false" customHeight="true" outlineLevel="0" collapsed="false">
      <c r="D373" s="7" t="str">
        <f aca="false">IFERROR(__xludf.dummyfunction("""COMPUTED_VALUE"""),"Mth_1thick")</f>
        <v>Mth_1thick</v>
      </c>
    </row>
    <row r="374" customFormat="false" ht="14.25" hidden="false" customHeight="true" outlineLevel="0" collapsed="false">
      <c r="D374" s="7" t="str">
        <f aca="false">IFERROR(__xludf.dummyfunction("""COMPUTED_VALUE"""),"Mth_2cut")</f>
        <v>Mth_2cut</v>
      </c>
    </row>
    <row r="375" customFormat="false" ht="14.25" hidden="false" customHeight="true" outlineLevel="0" collapsed="false">
      <c r="D375" s="7" t="str">
        <f aca="false">IFERROR(__xludf.dummyfunction("""COMPUTED_VALUE"""),"Mth_2thick")</f>
        <v>Mth_2thick</v>
      </c>
    </row>
    <row r="376" customFormat="false" ht="14.25" hidden="false" customHeight="true" outlineLevel="0" collapsed="false">
      <c r="D376" s="7" t="str">
        <f aca="false">IFERROR(__xludf.dummyfunction("""COMPUTED_VALUE"""),"Mth_3cut")</f>
        <v>Mth_3cut</v>
      </c>
    </row>
    <row r="377" customFormat="false" ht="14.25" hidden="false" customHeight="true" outlineLevel="0" collapsed="false">
      <c r="D377" s="7" t="str">
        <f aca="false">IFERROR(__xludf.dummyfunction("""COMPUTED_VALUE"""),"Mth_3thick")</f>
        <v>Mth_3thick</v>
      </c>
    </row>
    <row r="378" customFormat="false" ht="14.25" hidden="false" customHeight="true" outlineLevel="0" collapsed="false">
      <c r="D378" s="7" t="str">
        <f aca="false">IFERROR(__xludf.dummyfunction("""COMPUTED_VALUE"""),"Mth_Tsh")</f>
        <v>Mth_Tsh</v>
      </c>
    </row>
    <row r="379" customFormat="false" ht="14.25" hidden="false" customHeight="true" outlineLevel="0" collapsed="false">
      <c r="D379" s="7" t="str">
        <f aca="false">IFERROR(__xludf.dummyfunction("""COMPUTED_VALUE"""),"")</f>
        <v/>
      </c>
    </row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2020-07-20T16:49:11Z</dcterms:modified>
  <cp:revision>1</cp:revision>
  <dc:subject/>
  <dc:title/>
</cp:coreProperties>
</file>