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S:\Performance_Management_Unit\03_Reports\04_Quarterly_Recurring\Multi-Program\Public_Disclosure_Data\15_FY2025\Q2\"/>
    </mc:Choice>
  </mc:AlternateContent>
  <xr:revisionPtr revIDLastSave="0" documentId="13_ncr:1_{8CCDA5E6-4A52-4ABE-839C-68447F3C5EA0}" xr6:coauthVersionLast="47" xr6:coauthVersionMax="47" xr10:uidLastSave="{00000000-0000-0000-0000-000000000000}"/>
  <bookViews>
    <workbookView xWindow="28680" yWindow="-120" windowWidth="29040" windowHeight="15720" xr2:uid="{DB0657CF-9ECD-4BED-B65A-2BD4FA49D346}"/>
  </bookViews>
  <sheets>
    <sheet name="PW_DISCLOSURE_DATA_OLD" sheetId="1" r:id="rId1"/>
  </sheets>
  <definedNames>
    <definedName name="_xlnm._FilterDatabase" localSheetId="0" hidden="1">PW_DISCLOSURE_DATA_OLD!$A$1:$CA$1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8" i="1" l="1"/>
  <c r="J58" i="1"/>
  <c r="K58" i="1"/>
  <c r="L58" i="1"/>
  <c r="M58" i="1"/>
  <c r="N58" i="1"/>
  <c r="O58" i="1"/>
  <c r="P58" i="1"/>
  <c r="Q58" i="1"/>
  <c r="R58" i="1"/>
  <c r="S58" i="1"/>
  <c r="T58" i="1"/>
  <c r="U58" i="1"/>
  <c r="V58" i="1"/>
  <c r="W58" i="1"/>
  <c r="X58" i="1"/>
  <c r="Y58" i="1"/>
  <c r="Z58" i="1"/>
  <c r="AA58" i="1"/>
  <c r="AB58" i="1"/>
  <c r="AC58" i="1"/>
  <c r="AD58" i="1"/>
  <c r="AE58" i="1"/>
  <c r="AF58" i="1"/>
  <c r="AG58" i="1"/>
  <c r="AH58" i="1"/>
  <c r="AI58" i="1"/>
  <c r="AJ58" i="1"/>
  <c r="AQ58" i="1"/>
  <c r="AR58" i="1"/>
  <c r="AS58" i="1"/>
  <c r="AT58" i="1"/>
  <c r="AV58" i="1"/>
  <c r="AW58" i="1"/>
  <c r="BL58" i="1"/>
  <c r="BM58" i="1"/>
  <c r="BN58" i="1"/>
  <c r="BQ58" i="1"/>
  <c r="BS58" i="1"/>
  <c r="I56" i="1"/>
  <c r="J56" i="1"/>
  <c r="K56" i="1"/>
  <c r="L56" i="1"/>
  <c r="M56" i="1"/>
  <c r="N56" i="1"/>
  <c r="O56" i="1"/>
  <c r="P56" i="1"/>
  <c r="Q56" i="1"/>
  <c r="R56" i="1"/>
  <c r="S56" i="1"/>
  <c r="T56" i="1"/>
  <c r="U56" i="1"/>
  <c r="V56" i="1"/>
  <c r="W56" i="1"/>
  <c r="X56" i="1"/>
  <c r="Y56" i="1"/>
  <c r="Z56" i="1"/>
  <c r="AA56" i="1"/>
  <c r="AB56" i="1"/>
  <c r="AC56" i="1"/>
  <c r="AD56" i="1"/>
  <c r="AE56" i="1"/>
  <c r="AF56" i="1"/>
  <c r="AG56" i="1"/>
  <c r="AH56" i="1"/>
  <c r="AI56" i="1"/>
  <c r="AJ56" i="1"/>
  <c r="AQ56" i="1"/>
  <c r="AR56" i="1"/>
  <c r="AS56" i="1"/>
  <c r="AT56" i="1"/>
  <c r="AV56" i="1"/>
  <c r="AW56" i="1"/>
  <c r="AY56" i="1"/>
  <c r="BL56" i="1"/>
  <c r="BM56" i="1"/>
  <c r="BN56" i="1"/>
  <c r="BQ56" i="1"/>
  <c r="BS56" i="1"/>
  <c r="I57" i="1"/>
  <c r="J57" i="1"/>
  <c r="K57" i="1"/>
  <c r="L57" i="1"/>
  <c r="M57" i="1"/>
  <c r="N57" i="1"/>
  <c r="O57" i="1"/>
  <c r="P57" i="1"/>
  <c r="Q57" i="1"/>
  <c r="R57" i="1"/>
  <c r="S57" i="1"/>
  <c r="T57" i="1"/>
  <c r="U57" i="1"/>
  <c r="V57" i="1"/>
  <c r="W57" i="1"/>
  <c r="X57" i="1"/>
  <c r="Y57" i="1"/>
  <c r="Z57" i="1"/>
  <c r="AA57" i="1"/>
  <c r="AB57" i="1"/>
  <c r="AC57" i="1"/>
  <c r="AD57" i="1"/>
  <c r="AE57" i="1"/>
  <c r="AF57" i="1"/>
  <c r="AG57" i="1"/>
  <c r="AH57" i="1"/>
  <c r="AI57" i="1"/>
  <c r="AJ57" i="1"/>
  <c r="AQ57" i="1"/>
  <c r="AR57" i="1"/>
  <c r="AS57" i="1"/>
  <c r="AT57" i="1"/>
  <c r="AV57" i="1"/>
  <c r="AW57" i="1"/>
  <c r="AY57" i="1"/>
  <c r="BL57" i="1"/>
  <c r="BM57" i="1"/>
  <c r="BN57" i="1"/>
  <c r="BQ57" i="1"/>
  <c r="BS57" i="1"/>
  <c r="I55" i="1"/>
  <c r="J55" i="1"/>
  <c r="K55" i="1"/>
  <c r="L55" i="1"/>
  <c r="M55" i="1"/>
  <c r="N55" i="1"/>
  <c r="O55" i="1"/>
  <c r="P55" i="1"/>
  <c r="Q55" i="1"/>
  <c r="R55" i="1"/>
  <c r="S55" i="1"/>
  <c r="T55" i="1"/>
  <c r="U55" i="1"/>
  <c r="V55" i="1"/>
  <c r="W55" i="1"/>
  <c r="X55" i="1"/>
  <c r="Y55" i="1"/>
  <c r="Z55" i="1"/>
  <c r="AA55" i="1"/>
  <c r="AB55" i="1"/>
  <c r="AC55" i="1"/>
  <c r="AD55" i="1"/>
  <c r="AE55" i="1"/>
  <c r="AF55" i="1"/>
  <c r="AG55" i="1"/>
  <c r="AH55" i="1"/>
  <c r="AI55" i="1"/>
  <c r="AJ55" i="1"/>
  <c r="AQ55" i="1"/>
  <c r="AR55" i="1"/>
  <c r="AS55" i="1"/>
  <c r="AT55" i="1"/>
  <c r="AV55" i="1"/>
  <c r="AW55" i="1"/>
  <c r="AY55" i="1"/>
  <c r="BL55" i="1"/>
  <c r="BM55" i="1"/>
  <c r="BN55" i="1"/>
  <c r="BQ55" i="1"/>
  <c r="BS55" i="1"/>
  <c r="I53" i="1"/>
  <c r="J53" i="1"/>
  <c r="K53" i="1"/>
  <c r="L53" i="1"/>
  <c r="M53" i="1"/>
  <c r="N53" i="1"/>
  <c r="O53" i="1"/>
  <c r="P53" i="1"/>
  <c r="Q53" i="1"/>
  <c r="R53" i="1"/>
  <c r="S53" i="1"/>
  <c r="T53" i="1"/>
  <c r="U53" i="1"/>
  <c r="V53" i="1"/>
  <c r="W53" i="1"/>
  <c r="X53" i="1"/>
  <c r="Y53" i="1"/>
  <c r="Z53" i="1"/>
  <c r="AA53" i="1"/>
  <c r="AB53" i="1"/>
  <c r="AC53" i="1"/>
  <c r="AD53" i="1"/>
  <c r="AE53" i="1"/>
  <c r="AF53" i="1"/>
  <c r="AG53" i="1"/>
  <c r="AH53" i="1"/>
  <c r="AI53" i="1"/>
  <c r="AJ53" i="1"/>
  <c r="AQ53" i="1"/>
  <c r="AR53" i="1"/>
  <c r="AS53" i="1"/>
  <c r="AT53" i="1"/>
  <c r="AV53" i="1"/>
  <c r="AW53" i="1"/>
  <c r="AY53" i="1"/>
  <c r="BL53" i="1"/>
  <c r="BM53" i="1"/>
  <c r="BN53" i="1"/>
  <c r="BQ53" i="1"/>
  <c r="BS53" i="1"/>
  <c r="I54" i="1"/>
  <c r="J54" i="1"/>
  <c r="K54" i="1"/>
  <c r="L54" i="1"/>
  <c r="M54" i="1"/>
  <c r="N54" i="1"/>
  <c r="O54" i="1"/>
  <c r="P54" i="1"/>
  <c r="Q54" i="1"/>
  <c r="R54" i="1"/>
  <c r="S54" i="1"/>
  <c r="T54" i="1"/>
  <c r="U54" i="1"/>
  <c r="V54" i="1"/>
  <c r="W54" i="1"/>
  <c r="X54" i="1"/>
  <c r="Y54" i="1"/>
  <c r="Z54" i="1"/>
  <c r="AA54" i="1"/>
  <c r="AB54" i="1"/>
  <c r="AC54" i="1"/>
  <c r="AD54" i="1"/>
  <c r="AE54" i="1"/>
  <c r="AF54" i="1"/>
  <c r="AG54" i="1"/>
  <c r="AH54" i="1"/>
  <c r="AI54" i="1"/>
  <c r="AJ54" i="1"/>
  <c r="AQ54" i="1"/>
  <c r="AR54" i="1"/>
  <c r="AS54" i="1"/>
  <c r="AT54" i="1"/>
  <c r="AV54" i="1"/>
  <c r="AW54" i="1"/>
  <c r="AY54" i="1"/>
  <c r="BL54" i="1"/>
  <c r="BM54" i="1"/>
  <c r="BN54" i="1"/>
  <c r="BQ54" i="1"/>
  <c r="BS54" i="1"/>
  <c r="I52" i="1"/>
  <c r="J52" i="1"/>
  <c r="K52" i="1"/>
  <c r="L52" i="1"/>
  <c r="M52" i="1"/>
  <c r="N52" i="1"/>
  <c r="O52" i="1"/>
  <c r="P52" i="1"/>
  <c r="Q52" i="1"/>
  <c r="R52" i="1"/>
  <c r="S52" i="1"/>
  <c r="T52" i="1"/>
  <c r="U52" i="1"/>
  <c r="V52" i="1"/>
  <c r="W52" i="1"/>
  <c r="X52" i="1"/>
  <c r="Y52" i="1"/>
  <c r="Z52" i="1"/>
  <c r="AA52" i="1"/>
  <c r="AB52" i="1"/>
  <c r="AC52" i="1"/>
  <c r="AD52" i="1"/>
  <c r="AE52" i="1"/>
  <c r="AF52" i="1"/>
  <c r="AG52" i="1"/>
  <c r="AH52" i="1"/>
  <c r="AI52" i="1"/>
  <c r="AJ52" i="1"/>
  <c r="AQ52" i="1"/>
  <c r="AR52" i="1"/>
  <c r="AS52" i="1"/>
  <c r="AT52" i="1"/>
  <c r="AV52" i="1"/>
  <c r="AW52" i="1"/>
  <c r="AY52" i="1"/>
  <c r="BL52" i="1"/>
  <c r="BM52" i="1"/>
  <c r="BN52" i="1"/>
  <c r="BQ52" i="1"/>
  <c r="BS52" i="1"/>
  <c r="I51" i="1"/>
  <c r="J51" i="1"/>
  <c r="K51" i="1"/>
  <c r="L51" i="1"/>
  <c r="M51" i="1"/>
  <c r="N51" i="1"/>
  <c r="O51" i="1"/>
  <c r="P51" i="1"/>
  <c r="Q51" i="1"/>
  <c r="R51" i="1"/>
  <c r="S51" i="1"/>
  <c r="T51" i="1"/>
  <c r="U51" i="1"/>
  <c r="V51" i="1"/>
  <c r="W51" i="1"/>
  <c r="X51" i="1"/>
  <c r="Y51" i="1"/>
  <c r="Z51" i="1"/>
  <c r="AA51" i="1"/>
  <c r="AB51" i="1"/>
  <c r="AC51" i="1"/>
  <c r="AD51" i="1"/>
  <c r="AE51" i="1"/>
  <c r="AF51" i="1"/>
  <c r="AG51" i="1"/>
  <c r="AH51" i="1"/>
  <c r="AI51" i="1"/>
  <c r="AJ51" i="1"/>
  <c r="AQ51" i="1"/>
  <c r="AR51" i="1"/>
  <c r="AS51" i="1"/>
  <c r="AT51" i="1"/>
  <c r="AV51" i="1"/>
  <c r="AW51" i="1"/>
  <c r="AY51" i="1"/>
  <c r="BL51" i="1"/>
  <c r="BM51" i="1"/>
  <c r="BN51" i="1"/>
  <c r="BQ51" i="1"/>
  <c r="BS51" i="1"/>
  <c r="I49" i="1"/>
  <c r="J49" i="1"/>
  <c r="K49" i="1"/>
  <c r="L49" i="1"/>
  <c r="M49" i="1"/>
  <c r="N49" i="1"/>
  <c r="O49" i="1"/>
  <c r="P49" i="1"/>
  <c r="Q49" i="1"/>
  <c r="R49" i="1"/>
  <c r="S49" i="1"/>
  <c r="T49" i="1"/>
  <c r="U49" i="1"/>
  <c r="V49" i="1"/>
  <c r="W49" i="1"/>
  <c r="X49" i="1"/>
  <c r="Y49" i="1"/>
  <c r="Z49" i="1"/>
  <c r="AA49" i="1"/>
  <c r="AB49" i="1"/>
  <c r="AC49" i="1"/>
  <c r="AD49" i="1"/>
  <c r="AE49" i="1"/>
  <c r="AF49" i="1"/>
  <c r="AG49" i="1"/>
  <c r="AH49" i="1"/>
  <c r="AI49" i="1"/>
  <c r="AJ49" i="1"/>
  <c r="AQ49" i="1"/>
  <c r="AR49" i="1"/>
  <c r="AS49" i="1"/>
  <c r="AT49" i="1"/>
  <c r="AV49" i="1"/>
  <c r="AW49" i="1"/>
  <c r="AY49" i="1"/>
  <c r="BL49" i="1"/>
  <c r="BM49" i="1"/>
  <c r="BN49" i="1"/>
  <c r="BQ49" i="1"/>
  <c r="BS49" i="1"/>
  <c r="I50" i="1"/>
  <c r="J50" i="1"/>
  <c r="K50" i="1"/>
  <c r="L50" i="1"/>
  <c r="M50" i="1"/>
  <c r="N50" i="1"/>
  <c r="O50" i="1"/>
  <c r="P50" i="1"/>
  <c r="Q50" i="1"/>
  <c r="R50" i="1"/>
  <c r="S50" i="1"/>
  <c r="T50" i="1"/>
  <c r="U50" i="1"/>
  <c r="V50" i="1"/>
  <c r="W50" i="1"/>
  <c r="X50" i="1"/>
  <c r="Y50" i="1"/>
  <c r="Z50" i="1"/>
  <c r="AA50" i="1"/>
  <c r="AB50" i="1"/>
  <c r="AC50" i="1"/>
  <c r="AD50" i="1"/>
  <c r="AE50" i="1"/>
  <c r="AF50" i="1"/>
  <c r="AG50" i="1"/>
  <c r="AH50" i="1"/>
  <c r="AI50" i="1"/>
  <c r="AJ50" i="1"/>
  <c r="AQ50" i="1"/>
  <c r="AR50" i="1"/>
  <c r="AS50" i="1"/>
  <c r="AT50" i="1"/>
  <c r="AV50" i="1"/>
  <c r="AW50" i="1"/>
  <c r="AY50" i="1"/>
  <c r="BL50" i="1"/>
  <c r="BM50" i="1"/>
  <c r="BN50" i="1"/>
  <c r="BQ50" i="1"/>
  <c r="BS50" i="1"/>
  <c r="I48" i="1"/>
  <c r="J48" i="1"/>
  <c r="K48" i="1"/>
  <c r="L48" i="1"/>
  <c r="M48" i="1"/>
  <c r="N48" i="1"/>
  <c r="O48" i="1"/>
  <c r="P48" i="1"/>
  <c r="Q48" i="1"/>
  <c r="R48" i="1"/>
  <c r="S48" i="1"/>
  <c r="T48" i="1"/>
  <c r="U48" i="1"/>
  <c r="V48" i="1"/>
  <c r="W48" i="1"/>
  <c r="X48" i="1"/>
  <c r="Y48" i="1"/>
  <c r="Z48" i="1"/>
  <c r="AA48" i="1"/>
  <c r="AB48" i="1"/>
  <c r="AC48" i="1"/>
  <c r="AD48" i="1"/>
  <c r="AE48" i="1"/>
  <c r="AF48" i="1"/>
  <c r="AG48" i="1"/>
  <c r="AH48" i="1"/>
  <c r="AI48" i="1"/>
  <c r="AJ48" i="1"/>
  <c r="AQ48" i="1"/>
  <c r="AR48" i="1"/>
  <c r="AS48" i="1"/>
  <c r="AT48" i="1"/>
  <c r="AV48" i="1"/>
  <c r="AW48" i="1"/>
  <c r="AY48" i="1"/>
  <c r="BL48" i="1"/>
  <c r="BM48" i="1"/>
  <c r="BN48" i="1"/>
  <c r="BQ48" i="1"/>
  <c r="BS48" i="1"/>
  <c r="I47" i="1"/>
  <c r="J47" i="1"/>
  <c r="K47" i="1"/>
  <c r="L47" i="1"/>
  <c r="M47" i="1"/>
  <c r="N47" i="1"/>
  <c r="O47" i="1"/>
  <c r="P47" i="1"/>
  <c r="Q47" i="1"/>
  <c r="R47" i="1"/>
  <c r="S47" i="1"/>
  <c r="T47" i="1"/>
  <c r="U47" i="1"/>
  <c r="V47" i="1"/>
  <c r="W47" i="1"/>
  <c r="X47" i="1"/>
  <c r="Y47" i="1"/>
  <c r="Z47" i="1"/>
  <c r="AA47" i="1"/>
  <c r="AB47" i="1"/>
  <c r="AC47" i="1"/>
  <c r="AD47" i="1"/>
  <c r="AE47" i="1"/>
  <c r="AF47" i="1"/>
  <c r="AG47" i="1"/>
  <c r="AH47" i="1"/>
  <c r="AI47" i="1"/>
  <c r="AJ47" i="1"/>
  <c r="AQ47" i="1"/>
  <c r="AR47" i="1"/>
  <c r="AS47" i="1"/>
  <c r="AT47" i="1"/>
  <c r="AV47" i="1"/>
  <c r="AW47" i="1"/>
  <c r="AY47" i="1"/>
  <c r="BL47" i="1"/>
  <c r="BM47" i="1"/>
  <c r="BN47" i="1"/>
  <c r="BQ47" i="1"/>
  <c r="BS47" i="1"/>
  <c r="I45" i="1"/>
  <c r="J45" i="1"/>
  <c r="K45" i="1"/>
  <c r="L45" i="1"/>
  <c r="M45" i="1"/>
  <c r="N45" i="1"/>
  <c r="O45" i="1"/>
  <c r="P45" i="1"/>
  <c r="Q45" i="1"/>
  <c r="R45" i="1"/>
  <c r="S45" i="1"/>
  <c r="T45" i="1"/>
  <c r="U45" i="1"/>
  <c r="V45" i="1"/>
  <c r="W45" i="1"/>
  <c r="X45" i="1"/>
  <c r="Y45" i="1"/>
  <c r="Z45" i="1"/>
  <c r="AA45" i="1"/>
  <c r="AB45" i="1"/>
  <c r="AC45" i="1"/>
  <c r="AD45" i="1"/>
  <c r="AE45" i="1"/>
  <c r="AF45" i="1"/>
  <c r="AG45" i="1"/>
  <c r="AH45" i="1"/>
  <c r="AI45" i="1"/>
  <c r="AJ45" i="1"/>
  <c r="AQ45" i="1"/>
  <c r="AR45" i="1"/>
  <c r="AS45" i="1"/>
  <c r="AT45" i="1"/>
  <c r="AV45" i="1"/>
  <c r="AW45" i="1"/>
  <c r="AY45" i="1"/>
  <c r="BL45" i="1"/>
  <c r="BM45" i="1"/>
  <c r="BN45" i="1"/>
  <c r="BQ45" i="1"/>
  <c r="BS45" i="1"/>
  <c r="I46" i="1"/>
  <c r="J46" i="1"/>
  <c r="K46" i="1"/>
  <c r="L46" i="1"/>
  <c r="M46" i="1"/>
  <c r="N46" i="1"/>
  <c r="O46" i="1"/>
  <c r="P46" i="1"/>
  <c r="Q46" i="1"/>
  <c r="R46" i="1"/>
  <c r="S46" i="1"/>
  <c r="T46" i="1"/>
  <c r="U46" i="1"/>
  <c r="V46" i="1"/>
  <c r="W46" i="1"/>
  <c r="X46" i="1"/>
  <c r="Y46" i="1"/>
  <c r="Z46" i="1"/>
  <c r="AA46" i="1"/>
  <c r="AB46" i="1"/>
  <c r="AC46" i="1"/>
  <c r="AD46" i="1"/>
  <c r="AE46" i="1"/>
  <c r="AF46" i="1"/>
  <c r="AG46" i="1"/>
  <c r="AH46" i="1"/>
  <c r="AI46" i="1"/>
  <c r="AJ46" i="1"/>
  <c r="AQ46" i="1"/>
  <c r="AR46" i="1"/>
  <c r="AS46" i="1"/>
  <c r="AT46" i="1"/>
  <c r="AV46" i="1"/>
  <c r="AW46" i="1"/>
  <c r="AY46" i="1"/>
  <c r="BL46" i="1"/>
  <c r="BM46" i="1"/>
  <c r="BN46" i="1"/>
  <c r="BQ46" i="1"/>
  <c r="BS46" i="1"/>
  <c r="I44" i="1"/>
  <c r="J44" i="1"/>
  <c r="K44" i="1"/>
  <c r="L44" i="1"/>
  <c r="M44" i="1"/>
  <c r="N44" i="1"/>
  <c r="O44" i="1"/>
  <c r="P44" i="1"/>
  <c r="Q44" i="1"/>
  <c r="R44" i="1"/>
  <c r="S44" i="1"/>
  <c r="T44" i="1"/>
  <c r="U44" i="1"/>
  <c r="V44" i="1"/>
  <c r="W44" i="1"/>
  <c r="X44" i="1"/>
  <c r="Y44" i="1"/>
  <c r="Z44" i="1"/>
  <c r="AA44" i="1"/>
  <c r="AB44" i="1"/>
  <c r="AC44" i="1"/>
  <c r="AD44" i="1"/>
  <c r="AE44" i="1"/>
  <c r="AF44" i="1"/>
  <c r="AG44" i="1"/>
  <c r="AH44" i="1"/>
  <c r="AI44" i="1"/>
  <c r="AJ44" i="1"/>
  <c r="AQ44" i="1"/>
  <c r="AR44" i="1"/>
  <c r="AS44" i="1"/>
  <c r="AT44" i="1"/>
  <c r="AV44" i="1"/>
  <c r="AW44" i="1"/>
  <c r="AY44" i="1"/>
  <c r="BL44" i="1"/>
  <c r="BM44" i="1"/>
  <c r="BN44" i="1"/>
  <c r="BQ44" i="1"/>
  <c r="BS44"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Q43" i="1"/>
  <c r="AR43" i="1"/>
  <c r="AS43" i="1"/>
  <c r="AT43" i="1"/>
  <c r="AV43" i="1"/>
  <c r="AW43" i="1"/>
  <c r="AY43" i="1"/>
  <c r="BL43" i="1"/>
  <c r="BM43" i="1"/>
  <c r="BN43" i="1"/>
  <c r="BQ43" i="1"/>
  <c r="BS43" i="1"/>
  <c r="I41" i="1"/>
  <c r="J41" i="1"/>
  <c r="K41" i="1"/>
  <c r="L41" i="1"/>
  <c r="M41" i="1"/>
  <c r="N41" i="1"/>
  <c r="O41" i="1"/>
  <c r="P41" i="1"/>
  <c r="Q41" i="1"/>
  <c r="R41" i="1"/>
  <c r="S41" i="1"/>
  <c r="T41" i="1"/>
  <c r="U41" i="1"/>
  <c r="V41" i="1"/>
  <c r="W41" i="1"/>
  <c r="X41" i="1"/>
  <c r="Y41" i="1"/>
  <c r="Z41" i="1"/>
  <c r="AA41" i="1"/>
  <c r="AB41" i="1"/>
  <c r="AC41" i="1"/>
  <c r="AD41" i="1"/>
  <c r="AE41" i="1"/>
  <c r="AF41" i="1"/>
  <c r="AG41" i="1"/>
  <c r="AH41" i="1"/>
  <c r="AI41" i="1"/>
  <c r="AJ41" i="1"/>
  <c r="AQ41" i="1"/>
  <c r="AR41" i="1"/>
  <c r="AS41" i="1"/>
  <c r="AT41" i="1"/>
  <c r="AV41" i="1"/>
  <c r="AW41" i="1"/>
  <c r="AY41" i="1"/>
  <c r="BL41" i="1"/>
  <c r="BM41" i="1"/>
  <c r="BN41" i="1"/>
  <c r="BQ41" i="1"/>
  <c r="BS41" i="1"/>
  <c r="I42" i="1"/>
  <c r="J42" i="1"/>
  <c r="K42" i="1"/>
  <c r="L42" i="1"/>
  <c r="M42" i="1"/>
  <c r="N42" i="1"/>
  <c r="O42" i="1"/>
  <c r="P42" i="1"/>
  <c r="Q42" i="1"/>
  <c r="R42" i="1"/>
  <c r="S42" i="1"/>
  <c r="T42" i="1"/>
  <c r="U42" i="1"/>
  <c r="V42" i="1"/>
  <c r="W42" i="1"/>
  <c r="X42" i="1"/>
  <c r="Y42" i="1"/>
  <c r="Z42" i="1"/>
  <c r="AA42" i="1"/>
  <c r="AB42" i="1"/>
  <c r="AC42" i="1"/>
  <c r="AD42" i="1"/>
  <c r="AE42" i="1"/>
  <c r="AF42" i="1"/>
  <c r="AG42" i="1"/>
  <c r="AH42" i="1"/>
  <c r="AI42" i="1"/>
  <c r="AJ42" i="1"/>
  <c r="AQ42" i="1"/>
  <c r="AR42" i="1"/>
  <c r="AS42" i="1"/>
  <c r="AT42" i="1"/>
  <c r="AV42" i="1"/>
  <c r="AW42" i="1"/>
  <c r="AY42" i="1"/>
  <c r="BL42" i="1"/>
  <c r="BM42" i="1"/>
  <c r="BN42" i="1"/>
  <c r="BQ42" i="1"/>
  <c r="BS42" i="1"/>
  <c r="I40" i="1"/>
  <c r="J40" i="1"/>
  <c r="K40" i="1"/>
  <c r="L40" i="1"/>
  <c r="M40" i="1"/>
  <c r="N40" i="1"/>
  <c r="O40" i="1"/>
  <c r="P40" i="1"/>
  <c r="Q40" i="1"/>
  <c r="R40" i="1"/>
  <c r="S40" i="1"/>
  <c r="T40" i="1"/>
  <c r="U40" i="1"/>
  <c r="V40" i="1"/>
  <c r="W40" i="1"/>
  <c r="X40" i="1"/>
  <c r="Y40" i="1"/>
  <c r="Z40" i="1"/>
  <c r="AA40" i="1"/>
  <c r="AB40" i="1"/>
  <c r="AC40" i="1"/>
  <c r="AD40" i="1"/>
  <c r="AE40" i="1"/>
  <c r="AF40" i="1"/>
  <c r="AG40" i="1"/>
  <c r="AH40" i="1"/>
  <c r="AI40" i="1"/>
  <c r="AJ40" i="1"/>
  <c r="AQ40" i="1"/>
  <c r="AR40" i="1"/>
  <c r="AS40" i="1"/>
  <c r="AT40" i="1"/>
  <c r="AV40" i="1"/>
  <c r="AW40" i="1"/>
  <c r="AY40" i="1"/>
  <c r="BL40" i="1"/>
  <c r="BM40" i="1"/>
  <c r="BN40" i="1"/>
  <c r="BQ40" i="1"/>
  <c r="BS40" i="1"/>
  <c r="I39" i="1"/>
  <c r="J39" i="1"/>
  <c r="K39" i="1"/>
  <c r="L39" i="1"/>
  <c r="M39" i="1"/>
  <c r="N39" i="1"/>
  <c r="O39" i="1"/>
  <c r="P39" i="1"/>
  <c r="Q39" i="1"/>
  <c r="R39" i="1"/>
  <c r="S39" i="1"/>
  <c r="T39" i="1"/>
  <c r="U39" i="1"/>
  <c r="V39" i="1"/>
  <c r="W39" i="1"/>
  <c r="X39" i="1"/>
  <c r="Y39" i="1"/>
  <c r="Z39" i="1"/>
  <c r="AA39" i="1"/>
  <c r="AB39" i="1"/>
  <c r="AC39" i="1"/>
  <c r="AD39" i="1"/>
  <c r="AE39" i="1"/>
  <c r="AF39" i="1"/>
  <c r="AG39" i="1"/>
  <c r="AH39" i="1"/>
  <c r="AI39" i="1"/>
  <c r="AJ39" i="1"/>
  <c r="AQ39" i="1"/>
  <c r="AR39" i="1"/>
  <c r="AS39" i="1"/>
  <c r="AT39" i="1"/>
  <c r="AV39" i="1"/>
  <c r="AW39" i="1"/>
  <c r="AY39" i="1"/>
  <c r="BL39" i="1"/>
  <c r="BM39" i="1"/>
  <c r="BN39" i="1"/>
  <c r="BQ39" i="1"/>
  <c r="BS39" i="1"/>
  <c r="I37" i="1"/>
  <c r="J37" i="1"/>
  <c r="K37" i="1"/>
  <c r="L37" i="1"/>
  <c r="M37" i="1"/>
  <c r="N37" i="1"/>
  <c r="O37" i="1"/>
  <c r="P37" i="1"/>
  <c r="Q37" i="1"/>
  <c r="R37" i="1"/>
  <c r="S37" i="1"/>
  <c r="T37" i="1"/>
  <c r="U37" i="1"/>
  <c r="V37" i="1"/>
  <c r="W37" i="1"/>
  <c r="X37" i="1"/>
  <c r="Y37" i="1"/>
  <c r="Z37" i="1"/>
  <c r="AA37" i="1"/>
  <c r="AB37" i="1"/>
  <c r="AC37" i="1"/>
  <c r="AD37" i="1"/>
  <c r="AE37" i="1"/>
  <c r="AF37" i="1"/>
  <c r="AG37" i="1"/>
  <c r="AH37" i="1"/>
  <c r="AI37" i="1"/>
  <c r="AJ37" i="1"/>
  <c r="AQ37" i="1"/>
  <c r="AR37" i="1"/>
  <c r="AS37" i="1"/>
  <c r="AT37" i="1"/>
  <c r="AV37" i="1"/>
  <c r="AW37" i="1"/>
  <c r="AY37" i="1"/>
  <c r="BL37" i="1"/>
  <c r="BM37" i="1"/>
  <c r="BN37" i="1"/>
  <c r="BQ37" i="1"/>
  <c r="BS37" i="1"/>
  <c r="I38" i="1"/>
  <c r="J38" i="1"/>
  <c r="K38" i="1"/>
  <c r="L38" i="1"/>
  <c r="M38" i="1"/>
  <c r="N38" i="1"/>
  <c r="O38" i="1"/>
  <c r="P38" i="1"/>
  <c r="Q38" i="1"/>
  <c r="R38" i="1"/>
  <c r="S38" i="1"/>
  <c r="T38" i="1"/>
  <c r="U38" i="1"/>
  <c r="V38" i="1"/>
  <c r="W38" i="1"/>
  <c r="X38" i="1"/>
  <c r="Y38" i="1"/>
  <c r="Z38" i="1"/>
  <c r="AA38" i="1"/>
  <c r="AB38" i="1"/>
  <c r="AC38" i="1"/>
  <c r="AD38" i="1"/>
  <c r="AE38" i="1"/>
  <c r="AF38" i="1"/>
  <c r="AG38" i="1"/>
  <c r="AH38" i="1"/>
  <c r="AI38" i="1"/>
  <c r="AJ38" i="1"/>
  <c r="AQ38" i="1"/>
  <c r="AR38" i="1"/>
  <c r="AS38" i="1"/>
  <c r="AT38" i="1"/>
  <c r="AV38" i="1"/>
  <c r="AW38" i="1"/>
  <c r="AY38" i="1"/>
  <c r="BL38" i="1"/>
  <c r="BM38" i="1"/>
  <c r="BN38" i="1"/>
  <c r="BQ38" i="1"/>
  <c r="BS38"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Q36" i="1"/>
  <c r="AR36" i="1"/>
  <c r="AS36" i="1"/>
  <c r="AT36" i="1"/>
  <c r="AV36" i="1"/>
  <c r="AW36" i="1"/>
  <c r="AY36" i="1"/>
  <c r="BL36" i="1"/>
  <c r="BM36" i="1"/>
  <c r="BN36" i="1"/>
  <c r="BQ36" i="1"/>
  <c r="BS36" i="1"/>
  <c r="I35" i="1"/>
  <c r="J35" i="1"/>
  <c r="K35" i="1"/>
  <c r="L35" i="1"/>
  <c r="M35" i="1"/>
  <c r="N35" i="1"/>
  <c r="O35" i="1"/>
  <c r="P35" i="1"/>
  <c r="Q35" i="1"/>
  <c r="R35" i="1"/>
  <c r="S35" i="1"/>
  <c r="T35" i="1"/>
  <c r="U35" i="1"/>
  <c r="V35" i="1"/>
  <c r="W35" i="1"/>
  <c r="X35" i="1"/>
  <c r="Y35" i="1"/>
  <c r="Z35" i="1"/>
  <c r="AA35" i="1"/>
  <c r="AB35" i="1"/>
  <c r="AC35" i="1"/>
  <c r="AD35" i="1"/>
  <c r="AE35" i="1"/>
  <c r="AF35" i="1"/>
  <c r="AG35" i="1"/>
  <c r="AH35" i="1"/>
  <c r="AI35" i="1"/>
  <c r="AJ35" i="1"/>
  <c r="AQ35" i="1"/>
  <c r="AR35" i="1"/>
  <c r="AS35" i="1"/>
  <c r="AT35" i="1"/>
  <c r="AV35" i="1"/>
  <c r="AW35" i="1"/>
  <c r="AY35" i="1"/>
  <c r="BL35" i="1"/>
  <c r="BM35" i="1"/>
  <c r="BN35" i="1"/>
  <c r="BQ35" i="1"/>
  <c r="BS35" i="1"/>
  <c r="I34" i="1"/>
  <c r="J34" i="1"/>
  <c r="K34" i="1"/>
  <c r="L34" i="1"/>
  <c r="M34" i="1"/>
  <c r="N34" i="1"/>
  <c r="O34" i="1"/>
  <c r="P34" i="1"/>
  <c r="Q34" i="1"/>
  <c r="R34" i="1"/>
  <c r="S34" i="1"/>
  <c r="T34" i="1"/>
  <c r="U34" i="1"/>
  <c r="V34" i="1"/>
  <c r="W34" i="1"/>
  <c r="X34" i="1"/>
  <c r="Y34" i="1"/>
  <c r="Z34" i="1"/>
  <c r="AA34" i="1"/>
  <c r="AB34" i="1"/>
  <c r="AC34" i="1"/>
  <c r="AD34" i="1"/>
  <c r="AE34" i="1"/>
  <c r="AF34" i="1"/>
  <c r="AG34" i="1"/>
  <c r="AH34" i="1"/>
  <c r="AI34" i="1"/>
  <c r="AJ34" i="1"/>
  <c r="AQ34" i="1"/>
  <c r="AR34" i="1"/>
  <c r="AS34" i="1"/>
  <c r="AT34" i="1"/>
  <c r="AV34" i="1"/>
  <c r="AW34" i="1"/>
  <c r="AY34" i="1"/>
  <c r="BL34" i="1"/>
  <c r="BM34" i="1"/>
  <c r="BN34" i="1"/>
  <c r="BQ34" i="1"/>
  <c r="BS34" i="1"/>
  <c r="I31" i="1"/>
  <c r="J31" i="1"/>
  <c r="K31" i="1"/>
  <c r="L31" i="1"/>
  <c r="M31" i="1"/>
  <c r="N31" i="1"/>
  <c r="O31" i="1"/>
  <c r="P31" i="1"/>
  <c r="Q31" i="1"/>
  <c r="R31" i="1"/>
  <c r="S31" i="1"/>
  <c r="T31" i="1"/>
  <c r="U31" i="1"/>
  <c r="V31" i="1"/>
  <c r="W31" i="1"/>
  <c r="X31" i="1"/>
  <c r="Y31" i="1"/>
  <c r="Z31" i="1"/>
  <c r="AA31" i="1"/>
  <c r="AB31" i="1"/>
  <c r="AC31" i="1"/>
  <c r="AD31" i="1"/>
  <c r="AE31" i="1"/>
  <c r="AF31" i="1"/>
  <c r="AG31" i="1"/>
  <c r="AH31" i="1"/>
  <c r="AI31" i="1"/>
  <c r="AJ31" i="1"/>
  <c r="AQ31" i="1"/>
  <c r="AR31" i="1"/>
  <c r="AS31" i="1"/>
  <c r="AT31" i="1"/>
  <c r="AV31" i="1"/>
  <c r="AW31" i="1"/>
  <c r="AY31" i="1"/>
  <c r="BL31" i="1"/>
  <c r="BM31" i="1"/>
  <c r="BN31" i="1"/>
  <c r="BQ31" i="1"/>
  <c r="BS31" i="1"/>
  <c r="I32" i="1"/>
  <c r="J32" i="1"/>
  <c r="K32" i="1"/>
  <c r="L32" i="1"/>
  <c r="M32" i="1"/>
  <c r="N32" i="1"/>
  <c r="O32" i="1"/>
  <c r="P32" i="1"/>
  <c r="Q32" i="1"/>
  <c r="R32" i="1"/>
  <c r="S32" i="1"/>
  <c r="T32" i="1"/>
  <c r="U32" i="1"/>
  <c r="V32" i="1"/>
  <c r="W32" i="1"/>
  <c r="X32" i="1"/>
  <c r="Y32" i="1"/>
  <c r="Z32" i="1"/>
  <c r="AA32" i="1"/>
  <c r="AB32" i="1"/>
  <c r="AC32" i="1"/>
  <c r="AD32" i="1"/>
  <c r="AE32" i="1"/>
  <c r="AF32" i="1"/>
  <c r="AG32" i="1"/>
  <c r="AH32" i="1"/>
  <c r="AI32" i="1"/>
  <c r="AJ32" i="1"/>
  <c r="AQ32" i="1"/>
  <c r="AR32" i="1"/>
  <c r="AS32" i="1"/>
  <c r="AT32" i="1"/>
  <c r="AV32" i="1"/>
  <c r="AW32" i="1"/>
  <c r="AY32" i="1"/>
  <c r="BL32" i="1"/>
  <c r="BM32" i="1"/>
  <c r="BN32" i="1"/>
  <c r="BQ32" i="1"/>
  <c r="BS32"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Q33" i="1"/>
  <c r="AR33" i="1"/>
  <c r="AS33" i="1"/>
  <c r="AT33" i="1"/>
  <c r="AV33" i="1"/>
  <c r="AW33" i="1"/>
  <c r="AY33" i="1"/>
  <c r="BL33" i="1"/>
  <c r="BM33" i="1"/>
  <c r="BN33" i="1"/>
  <c r="BQ33" i="1"/>
  <c r="BS33"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Q29" i="1"/>
  <c r="AR29" i="1"/>
  <c r="AS29" i="1"/>
  <c r="AT29" i="1"/>
  <c r="AV29" i="1"/>
  <c r="AW29" i="1"/>
  <c r="AY29" i="1"/>
  <c r="BL29" i="1"/>
  <c r="BM29" i="1"/>
  <c r="BN29" i="1"/>
  <c r="BQ29" i="1"/>
  <c r="BS29" i="1"/>
  <c r="I30" i="1"/>
  <c r="J30" i="1"/>
  <c r="K30" i="1"/>
  <c r="L30" i="1"/>
  <c r="M30" i="1"/>
  <c r="N30" i="1"/>
  <c r="O30" i="1"/>
  <c r="P30" i="1"/>
  <c r="Q30" i="1"/>
  <c r="R30" i="1"/>
  <c r="S30" i="1"/>
  <c r="T30" i="1"/>
  <c r="U30" i="1"/>
  <c r="V30" i="1"/>
  <c r="W30" i="1"/>
  <c r="X30" i="1"/>
  <c r="Y30" i="1"/>
  <c r="Z30" i="1"/>
  <c r="AA30" i="1"/>
  <c r="AB30" i="1"/>
  <c r="AC30" i="1"/>
  <c r="AD30" i="1"/>
  <c r="AE30" i="1"/>
  <c r="AF30" i="1"/>
  <c r="AG30" i="1"/>
  <c r="AH30" i="1"/>
  <c r="AI30" i="1"/>
  <c r="AJ30" i="1"/>
  <c r="AQ30" i="1"/>
  <c r="AR30" i="1"/>
  <c r="AS30" i="1"/>
  <c r="AT30" i="1"/>
  <c r="AV30" i="1"/>
  <c r="AW30" i="1"/>
  <c r="AY30" i="1"/>
  <c r="BL30" i="1"/>
  <c r="BM30" i="1"/>
  <c r="BN30" i="1"/>
  <c r="BQ30" i="1"/>
  <c r="BS30" i="1"/>
  <c r="I28" i="1"/>
  <c r="J28" i="1"/>
  <c r="K28" i="1"/>
  <c r="L28" i="1"/>
  <c r="M28" i="1"/>
  <c r="N28" i="1"/>
  <c r="O28" i="1"/>
  <c r="P28" i="1"/>
  <c r="Q28" i="1"/>
  <c r="R28" i="1"/>
  <c r="S28" i="1"/>
  <c r="T28" i="1"/>
  <c r="U28" i="1"/>
  <c r="V28" i="1"/>
  <c r="W28" i="1"/>
  <c r="X28" i="1"/>
  <c r="Y28" i="1"/>
  <c r="Z28" i="1"/>
  <c r="AA28" i="1"/>
  <c r="AB28" i="1"/>
  <c r="AC28" i="1"/>
  <c r="AD28" i="1"/>
  <c r="AE28" i="1"/>
  <c r="AF28" i="1"/>
  <c r="AG28" i="1"/>
  <c r="AH28" i="1"/>
  <c r="AI28" i="1"/>
  <c r="AJ28" i="1"/>
  <c r="AQ28" i="1"/>
  <c r="AR28" i="1"/>
  <c r="AS28" i="1"/>
  <c r="AT28" i="1"/>
  <c r="AV28" i="1"/>
  <c r="AW28" i="1"/>
  <c r="AY28" i="1"/>
  <c r="BL28" i="1"/>
  <c r="BM28" i="1"/>
  <c r="BN28" i="1"/>
  <c r="BQ28" i="1"/>
  <c r="BS28" i="1"/>
  <c r="I86" i="1"/>
  <c r="J86" i="1"/>
  <c r="K86" i="1"/>
  <c r="L86" i="1"/>
  <c r="M86" i="1"/>
  <c r="N86" i="1"/>
  <c r="O86" i="1"/>
  <c r="P86" i="1"/>
  <c r="Q86" i="1"/>
  <c r="R86" i="1"/>
  <c r="S86" i="1"/>
  <c r="T86" i="1"/>
  <c r="U86" i="1"/>
  <c r="V86" i="1"/>
  <c r="W86" i="1"/>
  <c r="X86" i="1"/>
  <c r="Y86" i="1"/>
  <c r="Z86" i="1"/>
  <c r="AA86" i="1"/>
  <c r="AB86" i="1"/>
  <c r="AC86" i="1"/>
  <c r="AD86" i="1"/>
  <c r="AE86" i="1"/>
  <c r="AF86" i="1"/>
  <c r="AG86" i="1"/>
  <c r="AH86" i="1"/>
  <c r="AI86" i="1"/>
  <c r="AJ86" i="1"/>
  <c r="AQ86" i="1"/>
  <c r="AR86" i="1"/>
  <c r="AS86" i="1"/>
  <c r="AT86" i="1"/>
  <c r="AV86" i="1"/>
  <c r="AW86" i="1"/>
  <c r="AY86" i="1"/>
  <c r="BL86" i="1"/>
  <c r="BM86" i="1"/>
  <c r="BN86" i="1"/>
  <c r="BQ86" i="1"/>
  <c r="BS86" i="1"/>
  <c r="I27" i="1"/>
  <c r="J27" i="1"/>
  <c r="K27" i="1"/>
  <c r="L27" i="1"/>
  <c r="M27" i="1"/>
  <c r="N27" i="1"/>
  <c r="O27" i="1"/>
  <c r="P27" i="1"/>
  <c r="Q27" i="1"/>
  <c r="R27" i="1"/>
  <c r="S27" i="1"/>
  <c r="T27" i="1"/>
  <c r="U27" i="1"/>
  <c r="V27" i="1"/>
  <c r="W27" i="1"/>
  <c r="X27" i="1"/>
  <c r="Y27" i="1"/>
  <c r="Z27" i="1"/>
  <c r="AA27" i="1"/>
  <c r="AB27" i="1"/>
  <c r="AC27" i="1"/>
  <c r="AD27" i="1"/>
  <c r="AE27" i="1"/>
  <c r="AF27" i="1"/>
  <c r="AG27" i="1"/>
  <c r="AH27" i="1"/>
  <c r="AI27" i="1"/>
  <c r="AJ27" i="1"/>
  <c r="AQ27" i="1"/>
  <c r="AR27" i="1"/>
  <c r="AS27" i="1"/>
  <c r="AT27" i="1"/>
  <c r="AV27" i="1"/>
  <c r="AW27" i="1"/>
  <c r="AY27" i="1"/>
  <c r="BL27" i="1"/>
  <c r="BM27" i="1"/>
  <c r="BN27" i="1"/>
  <c r="BQ27" i="1"/>
  <c r="BS27" i="1"/>
  <c r="I26" i="1"/>
  <c r="J26" i="1"/>
  <c r="K26" i="1"/>
  <c r="L26" i="1"/>
  <c r="M26" i="1"/>
  <c r="N26" i="1"/>
  <c r="O26" i="1"/>
  <c r="P26" i="1"/>
  <c r="Q26" i="1"/>
  <c r="R26" i="1"/>
  <c r="S26" i="1"/>
  <c r="T26" i="1"/>
  <c r="U26" i="1"/>
  <c r="V26" i="1"/>
  <c r="W26" i="1"/>
  <c r="X26" i="1"/>
  <c r="Y26" i="1"/>
  <c r="Z26" i="1"/>
  <c r="AA26" i="1"/>
  <c r="AB26" i="1"/>
  <c r="AC26" i="1"/>
  <c r="AD26" i="1"/>
  <c r="AE26" i="1"/>
  <c r="AF26" i="1"/>
  <c r="AG26" i="1"/>
  <c r="AH26" i="1"/>
  <c r="AI26" i="1"/>
  <c r="AJ26" i="1"/>
  <c r="AQ26" i="1"/>
  <c r="AR26" i="1"/>
  <c r="AS26" i="1"/>
  <c r="AT26" i="1"/>
  <c r="AV26" i="1"/>
  <c r="AW26" i="1"/>
  <c r="AY26" i="1"/>
  <c r="BL26" i="1"/>
  <c r="BM26" i="1"/>
  <c r="BN26" i="1"/>
  <c r="BQ26" i="1"/>
  <c r="BS26" i="1"/>
  <c r="I23" i="1"/>
  <c r="J23" i="1"/>
  <c r="K23" i="1"/>
  <c r="L23" i="1"/>
  <c r="M23" i="1"/>
  <c r="N23" i="1"/>
  <c r="O23" i="1"/>
  <c r="P23" i="1"/>
  <c r="Q23" i="1"/>
  <c r="R23" i="1"/>
  <c r="S23" i="1"/>
  <c r="T23" i="1"/>
  <c r="U23" i="1"/>
  <c r="V23" i="1"/>
  <c r="W23" i="1"/>
  <c r="X23" i="1"/>
  <c r="Y23" i="1"/>
  <c r="Z23" i="1"/>
  <c r="AA23" i="1"/>
  <c r="AB23" i="1"/>
  <c r="AC23" i="1"/>
  <c r="AD23" i="1"/>
  <c r="AE23" i="1"/>
  <c r="AF23" i="1"/>
  <c r="AG23" i="1"/>
  <c r="AH23" i="1"/>
  <c r="AI23" i="1"/>
  <c r="AJ23" i="1"/>
  <c r="AQ23" i="1"/>
  <c r="AR23" i="1"/>
  <c r="AS23" i="1"/>
  <c r="AT23" i="1"/>
  <c r="AV23" i="1"/>
  <c r="AW23" i="1"/>
  <c r="AY23" i="1"/>
  <c r="BL23" i="1"/>
  <c r="BM23" i="1"/>
  <c r="BN23" i="1"/>
  <c r="BQ23" i="1"/>
  <c r="BS23"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Q24" i="1"/>
  <c r="AR24" i="1"/>
  <c r="AS24" i="1"/>
  <c r="AT24" i="1"/>
  <c r="AV24" i="1"/>
  <c r="AW24" i="1"/>
  <c r="AY24" i="1"/>
  <c r="BL24" i="1"/>
  <c r="BM24" i="1"/>
  <c r="BN24" i="1"/>
  <c r="BQ24" i="1"/>
  <c r="BS24" i="1"/>
  <c r="I25" i="1"/>
  <c r="J25" i="1"/>
  <c r="K25" i="1"/>
  <c r="L25" i="1"/>
  <c r="M25" i="1"/>
  <c r="N25" i="1"/>
  <c r="O25" i="1"/>
  <c r="P25" i="1"/>
  <c r="Q25" i="1"/>
  <c r="R25" i="1"/>
  <c r="S25" i="1"/>
  <c r="T25" i="1"/>
  <c r="U25" i="1"/>
  <c r="V25" i="1"/>
  <c r="W25" i="1"/>
  <c r="X25" i="1"/>
  <c r="Y25" i="1"/>
  <c r="Z25" i="1"/>
  <c r="AA25" i="1"/>
  <c r="AB25" i="1"/>
  <c r="AC25" i="1"/>
  <c r="AD25" i="1"/>
  <c r="AE25" i="1"/>
  <c r="AF25" i="1"/>
  <c r="AG25" i="1"/>
  <c r="AH25" i="1"/>
  <c r="AI25" i="1"/>
  <c r="AJ25" i="1"/>
  <c r="AQ25" i="1"/>
  <c r="AR25" i="1"/>
  <c r="AS25" i="1"/>
  <c r="AT25" i="1"/>
  <c r="AV25" i="1"/>
  <c r="AW25" i="1"/>
  <c r="AY25" i="1"/>
  <c r="BL25" i="1"/>
  <c r="BM25" i="1"/>
  <c r="BN25" i="1"/>
  <c r="BQ25" i="1"/>
  <c r="BS25"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Q22" i="1"/>
  <c r="AR22" i="1"/>
  <c r="AS22" i="1"/>
  <c r="AT22" i="1"/>
  <c r="AV22" i="1"/>
  <c r="AW22" i="1"/>
  <c r="AY22" i="1"/>
  <c r="BL22" i="1"/>
  <c r="BM22" i="1"/>
  <c r="BN22" i="1"/>
  <c r="BQ22" i="1"/>
  <c r="BS22" i="1"/>
  <c r="I21" i="1"/>
  <c r="J21" i="1"/>
  <c r="K21" i="1"/>
  <c r="L21" i="1"/>
  <c r="M21" i="1"/>
  <c r="N21" i="1"/>
  <c r="O21" i="1"/>
  <c r="P21" i="1"/>
  <c r="Q21" i="1"/>
  <c r="R21" i="1"/>
  <c r="S21" i="1"/>
  <c r="T21" i="1"/>
  <c r="U21" i="1"/>
  <c r="V21" i="1"/>
  <c r="W21" i="1"/>
  <c r="X21" i="1"/>
  <c r="Y21" i="1"/>
  <c r="Z21" i="1"/>
  <c r="AA21" i="1"/>
  <c r="AB21" i="1"/>
  <c r="AC21" i="1"/>
  <c r="AD21" i="1"/>
  <c r="AE21" i="1"/>
  <c r="AF21" i="1"/>
  <c r="AG21" i="1"/>
  <c r="AH21" i="1"/>
  <c r="AI21" i="1"/>
  <c r="AJ21" i="1"/>
  <c r="AQ21" i="1"/>
  <c r="AR21" i="1"/>
  <c r="AS21" i="1"/>
  <c r="AT21" i="1"/>
  <c r="AV21" i="1"/>
  <c r="AW21" i="1"/>
  <c r="AY21" i="1"/>
  <c r="BL21" i="1"/>
  <c r="BM21" i="1"/>
  <c r="BN21" i="1"/>
  <c r="BQ21" i="1"/>
  <c r="BS21" i="1"/>
  <c r="I20" i="1"/>
  <c r="J20" i="1"/>
  <c r="K20" i="1"/>
  <c r="L20" i="1"/>
  <c r="M20" i="1"/>
  <c r="N20" i="1"/>
  <c r="O20" i="1"/>
  <c r="P20" i="1"/>
  <c r="Q20" i="1"/>
  <c r="R20" i="1"/>
  <c r="S20" i="1"/>
  <c r="T20" i="1"/>
  <c r="U20" i="1"/>
  <c r="V20" i="1"/>
  <c r="W20" i="1"/>
  <c r="X20" i="1"/>
  <c r="Y20" i="1"/>
  <c r="Z20" i="1"/>
  <c r="AA20" i="1"/>
  <c r="AB20" i="1"/>
  <c r="AC20" i="1"/>
  <c r="AD20" i="1"/>
  <c r="AE20" i="1"/>
  <c r="AF20" i="1"/>
  <c r="AG20" i="1"/>
  <c r="AH20" i="1"/>
  <c r="AI20" i="1"/>
  <c r="AJ20" i="1"/>
  <c r="AQ20" i="1"/>
  <c r="AR20" i="1"/>
  <c r="AS20" i="1"/>
  <c r="AT20" i="1"/>
  <c r="AV20" i="1"/>
  <c r="AW20" i="1"/>
  <c r="AY20" i="1"/>
  <c r="BL20" i="1"/>
  <c r="BM20" i="1"/>
  <c r="BN20" i="1"/>
  <c r="BQ20" i="1"/>
  <c r="BS20" i="1"/>
  <c r="I19" i="1"/>
  <c r="J19" i="1"/>
  <c r="K19" i="1"/>
  <c r="L19" i="1"/>
  <c r="M19" i="1"/>
  <c r="N19" i="1"/>
  <c r="O19" i="1"/>
  <c r="P19" i="1"/>
  <c r="Q19" i="1"/>
  <c r="R19" i="1"/>
  <c r="S19" i="1"/>
  <c r="T19" i="1"/>
  <c r="U19" i="1"/>
  <c r="V19" i="1"/>
  <c r="W19" i="1"/>
  <c r="X19" i="1"/>
  <c r="Y19" i="1"/>
  <c r="Z19" i="1"/>
  <c r="AA19" i="1"/>
  <c r="AB19" i="1"/>
  <c r="AC19" i="1"/>
  <c r="AD19" i="1"/>
  <c r="AE19" i="1"/>
  <c r="AF19" i="1"/>
  <c r="AG19" i="1"/>
  <c r="AH19" i="1"/>
  <c r="AI19" i="1"/>
  <c r="AJ19" i="1"/>
  <c r="AQ19" i="1"/>
  <c r="AR19" i="1"/>
  <c r="AS19" i="1"/>
  <c r="AT19" i="1"/>
  <c r="AV19" i="1"/>
  <c r="AW19" i="1"/>
  <c r="AY19" i="1"/>
  <c r="BL19" i="1"/>
  <c r="BM19" i="1"/>
  <c r="BN19" i="1"/>
  <c r="BQ19" i="1"/>
  <c r="BS19" i="1"/>
  <c r="I15" i="1"/>
  <c r="J15" i="1"/>
  <c r="K15" i="1"/>
  <c r="L15" i="1"/>
  <c r="M15" i="1"/>
  <c r="N15" i="1"/>
  <c r="O15" i="1"/>
  <c r="P15" i="1"/>
  <c r="Q15" i="1"/>
  <c r="R15" i="1"/>
  <c r="S15" i="1"/>
  <c r="T15" i="1"/>
  <c r="U15" i="1"/>
  <c r="V15" i="1"/>
  <c r="W15" i="1"/>
  <c r="X15" i="1"/>
  <c r="Y15" i="1"/>
  <c r="Z15" i="1"/>
  <c r="AA15" i="1"/>
  <c r="AB15" i="1"/>
  <c r="AC15" i="1"/>
  <c r="AD15" i="1"/>
  <c r="AE15" i="1"/>
  <c r="AF15" i="1"/>
  <c r="AG15" i="1"/>
  <c r="AH15" i="1"/>
  <c r="AI15" i="1"/>
  <c r="AJ15" i="1"/>
  <c r="AQ15" i="1"/>
  <c r="AR15" i="1"/>
  <c r="AS15" i="1"/>
  <c r="AT15" i="1"/>
  <c r="AV15" i="1"/>
  <c r="AW15" i="1"/>
  <c r="AY15" i="1"/>
  <c r="BL15" i="1"/>
  <c r="BM15" i="1"/>
  <c r="BN15" i="1"/>
  <c r="BQ15" i="1"/>
  <c r="BS15" i="1"/>
  <c r="I16" i="1"/>
  <c r="J16" i="1"/>
  <c r="K16" i="1"/>
  <c r="L16" i="1"/>
  <c r="M16" i="1"/>
  <c r="N16" i="1"/>
  <c r="O16" i="1"/>
  <c r="P16" i="1"/>
  <c r="Q16" i="1"/>
  <c r="R16" i="1"/>
  <c r="S16" i="1"/>
  <c r="T16" i="1"/>
  <c r="U16" i="1"/>
  <c r="V16" i="1"/>
  <c r="W16" i="1"/>
  <c r="X16" i="1"/>
  <c r="Y16" i="1"/>
  <c r="Z16" i="1"/>
  <c r="AA16" i="1"/>
  <c r="AB16" i="1"/>
  <c r="AC16" i="1"/>
  <c r="AD16" i="1"/>
  <c r="AE16" i="1"/>
  <c r="AF16" i="1"/>
  <c r="AG16" i="1"/>
  <c r="AH16" i="1"/>
  <c r="AI16" i="1"/>
  <c r="AJ16" i="1"/>
  <c r="AQ16" i="1"/>
  <c r="AR16" i="1"/>
  <c r="AS16" i="1"/>
  <c r="AT16" i="1"/>
  <c r="AV16" i="1"/>
  <c r="AW16" i="1"/>
  <c r="AY16" i="1"/>
  <c r="BL16" i="1"/>
  <c r="BM16" i="1"/>
  <c r="BN16" i="1"/>
  <c r="BQ16" i="1"/>
  <c r="BS16" i="1"/>
  <c r="I17" i="1"/>
  <c r="J17" i="1"/>
  <c r="K17" i="1"/>
  <c r="L17" i="1"/>
  <c r="M17" i="1"/>
  <c r="N17" i="1"/>
  <c r="O17" i="1"/>
  <c r="P17" i="1"/>
  <c r="Q17" i="1"/>
  <c r="R17" i="1"/>
  <c r="S17" i="1"/>
  <c r="T17" i="1"/>
  <c r="U17" i="1"/>
  <c r="V17" i="1"/>
  <c r="W17" i="1"/>
  <c r="X17" i="1"/>
  <c r="Y17" i="1"/>
  <c r="Z17" i="1"/>
  <c r="AA17" i="1"/>
  <c r="AB17" i="1"/>
  <c r="AC17" i="1"/>
  <c r="AD17" i="1"/>
  <c r="AE17" i="1"/>
  <c r="AF17" i="1"/>
  <c r="AG17" i="1"/>
  <c r="AH17" i="1"/>
  <c r="AI17" i="1"/>
  <c r="AJ17" i="1"/>
  <c r="AQ17" i="1"/>
  <c r="AR17" i="1"/>
  <c r="AS17" i="1"/>
  <c r="AT17" i="1"/>
  <c r="AV17" i="1"/>
  <c r="AW17" i="1"/>
  <c r="AY17" i="1"/>
  <c r="BL17" i="1"/>
  <c r="BM17" i="1"/>
  <c r="BN17" i="1"/>
  <c r="BQ17" i="1"/>
  <c r="BS17" i="1"/>
  <c r="I18" i="1"/>
  <c r="J18" i="1"/>
  <c r="K18" i="1"/>
  <c r="L18" i="1"/>
  <c r="M18" i="1"/>
  <c r="N18" i="1"/>
  <c r="O18" i="1"/>
  <c r="P18" i="1"/>
  <c r="Q18" i="1"/>
  <c r="R18" i="1"/>
  <c r="S18" i="1"/>
  <c r="T18" i="1"/>
  <c r="U18" i="1"/>
  <c r="V18" i="1"/>
  <c r="W18" i="1"/>
  <c r="X18" i="1"/>
  <c r="Y18" i="1"/>
  <c r="Z18" i="1"/>
  <c r="AA18" i="1"/>
  <c r="AB18" i="1"/>
  <c r="AC18" i="1"/>
  <c r="AD18" i="1"/>
  <c r="AE18" i="1"/>
  <c r="AF18" i="1"/>
  <c r="AG18" i="1"/>
  <c r="AH18" i="1"/>
  <c r="AI18" i="1"/>
  <c r="AJ18" i="1"/>
  <c r="AQ18" i="1"/>
  <c r="AR18" i="1"/>
  <c r="AS18" i="1"/>
  <c r="AT18" i="1"/>
  <c r="AV18" i="1"/>
  <c r="AW18" i="1"/>
  <c r="AY18" i="1"/>
  <c r="BL18" i="1"/>
  <c r="BM18" i="1"/>
  <c r="BN18" i="1"/>
  <c r="BQ18" i="1"/>
  <c r="BS18" i="1"/>
  <c r="I14" i="1"/>
  <c r="J14" i="1"/>
  <c r="K14" i="1"/>
  <c r="L14" i="1"/>
  <c r="M14" i="1"/>
  <c r="N14" i="1"/>
  <c r="O14" i="1"/>
  <c r="P14" i="1"/>
  <c r="Q14" i="1"/>
  <c r="R14" i="1"/>
  <c r="S14" i="1"/>
  <c r="T14" i="1"/>
  <c r="U14" i="1"/>
  <c r="V14" i="1"/>
  <c r="W14" i="1"/>
  <c r="X14" i="1"/>
  <c r="Y14" i="1"/>
  <c r="Z14" i="1"/>
  <c r="AA14" i="1"/>
  <c r="AB14" i="1"/>
  <c r="AC14" i="1"/>
  <c r="AD14" i="1"/>
  <c r="AE14" i="1"/>
  <c r="AF14" i="1"/>
  <c r="AG14" i="1"/>
  <c r="AH14" i="1"/>
  <c r="AI14" i="1"/>
  <c r="AJ14" i="1"/>
  <c r="AQ14" i="1"/>
  <c r="AR14" i="1"/>
  <c r="AS14" i="1"/>
  <c r="AT14" i="1"/>
  <c r="AV14" i="1"/>
  <c r="AW14" i="1"/>
  <c r="AY14" i="1"/>
  <c r="BL14" i="1"/>
  <c r="BM14" i="1"/>
  <c r="BN14" i="1"/>
  <c r="BQ14" i="1"/>
  <c r="BS14"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Q13" i="1"/>
  <c r="AR13" i="1"/>
  <c r="AS13" i="1"/>
  <c r="AT13" i="1"/>
  <c r="AV13" i="1"/>
  <c r="AW13" i="1"/>
  <c r="AY13" i="1"/>
  <c r="BL13" i="1"/>
  <c r="BM13" i="1"/>
  <c r="BN13" i="1"/>
  <c r="BQ13" i="1"/>
  <c r="BS13"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Q12" i="1"/>
  <c r="AR12" i="1"/>
  <c r="AS12" i="1"/>
  <c r="AT12" i="1"/>
  <c r="AV12" i="1"/>
  <c r="AW12" i="1"/>
  <c r="AY12" i="1"/>
  <c r="BL12" i="1"/>
  <c r="BM12" i="1"/>
  <c r="BN12" i="1"/>
  <c r="BQ12" i="1"/>
  <c r="BS12"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Q11" i="1"/>
  <c r="AR11" i="1"/>
  <c r="AS11" i="1"/>
  <c r="AT11" i="1"/>
  <c r="AV11" i="1"/>
  <c r="AW11" i="1"/>
  <c r="AY11" i="1"/>
  <c r="BL11" i="1"/>
  <c r="BM11" i="1"/>
  <c r="BN11" i="1"/>
  <c r="BQ11" i="1"/>
  <c r="BS11" i="1"/>
  <c r="I9" i="1"/>
  <c r="J9" i="1"/>
  <c r="K9" i="1"/>
  <c r="L9" i="1"/>
  <c r="M9" i="1"/>
  <c r="N9" i="1"/>
  <c r="O9" i="1"/>
  <c r="P9" i="1"/>
  <c r="Q9" i="1"/>
  <c r="R9" i="1"/>
  <c r="S9" i="1"/>
  <c r="T9" i="1"/>
  <c r="U9" i="1"/>
  <c r="V9" i="1"/>
  <c r="W9" i="1"/>
  <c r="X9" i="1"/>
  <c r="Y9" i="1"/>
  <c r="Z9" i="1"/>
  <c r="AA9" i="1"/>
  <c r="AB9" i="1"/>
  <c r="AC9" i="1"/>
  <c r="AD9" i="1"/>
  <c r="AE9" i="1"/>
  <c r="AF9" i="1"/>
  <c r="AG9" i="1"/>
  <c r="AH9" i="1"/>
  <c r="AI9" i="1"/>
  <c r="AJ9" i="1"/>
  <c r="AQ9" i="1"/>
  <c r="AR9" i="1"/>
  <c r="AS9" i="1"/>
  <c r="AT9" i="1"/>
  <c r="AV9" i="1"/>
  <c r="AW9" i="1"/>
  <c r="AY9" i="1"/>
  <c r="BL9" i="1"/>
  <c r="BM9" i="1"/>
  <c r="BN9" i="1"/>
  <c r="BQ9" i="1"/>
  <c r="BS9"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Q10" i="1"/>
  <c r="AR10" i="1"/>
  <c r="AS10" i="1"/>
  <c r="AT10" i="1"/>
  <c r="AV10" i="1"/>
  <c r="AW10" i="1"/>
  <c r="AY10" i="1"/>
  <c r="BL10" i="1"/>
  <c r="BM10" i="1"/>
  <c r="BN10" i="1"/>
  <c r="BQ10" i="1"/>
  <c r="BS10" i="1"/>
  <c r="I8" i="1"/>
  <c r="J8" i="1"/>
  <c r="K8" i="1"/>
  <c r="L8" i="1"/>
  <c r="M8" i="1"/>
  <c r="N8" i="1"/>
  <c r="O8" i="1"/>
  <c r="P8" i="1"/>
  <c r="Q8" i="1"/>
  <c r="R8" i="1"/>
  <c r="S8" i="1"/>
  <c r="T8" i="1"/>
  <c r="U8" i="1"/>
  <c r="V8" i="1"/>
  <c r="W8" i="1"/>
  <c r="X8" i="1"/>
  <c r="Y8" i="1"/>
  <c r="Z8" i="1"/>
  <c r="AA8" i="1"/>
  <c r="AB8" i="1"/>
  <c r="AC8" i="1"/>
  <c r="AD8" i="1"/>
  <c r="AE8" i="1"/>
  <c r="AF8" i="1"/>
  <c r="AG8" i="1"/>
  <c r="AH8" i="1"/>
  <c r="AI8" i="1"/>
  <c r="AJ8" i="1"/>
  <c r="AQ8" i="1"/>
  <c r="AR8" i="1"/>
  <c r="AS8" i="1"/>
  <c r="AT8" i="1"/>
  <c r="AV8" i="1"/>
  <c r="AW8" i="1"/>
  <c r="AY8" i="1"/>
  <c r="BL8" i="1"/>
  <c r="BM8" i="1"/>
  <c r="BN8" i="1"/>
  <c r="BQ8" i="1"/>
  <c r="BS8" i="1"/>
  <c r="I7" i="1"/>
  <c r="J7" i="1"/>
  <c r="K7" i="1"/>
  <c r="L7" i="1"/>
  <c r="M7" i="1"/>
  <c r="N7" i="1"/>
  <c r="O7" i="1"/>
  <c r="P7" i="1"/>
  <c r="Q7" i="1"/>
  <c r="R7" i="1"/>
  <c r="S7" i="1"/>
  <c r="T7" i="1"/>
  <c r="U7" i="1"/>
  <c r="V7" i="1"/>
  <c r="W7" i="1"/>
  <c r="X7" i="1"/>
  <c r="Y7" i="1"/>
  <c r="Z7" i="1"/>
  <c r="AA7" i="1"/>
  <c r="AB7" i="1"/>
  <c r="AC7" i="1"/>
  <c r="AD7" i="1"/>
  <c r="AE7" i="1"/>
  <c r="AF7" i="1"/>
  <c r="AG7" i="1"/>
  <c r="AH7" i="1"/>
  <c r="AI7" i="1"/>
  <c r="AJ7" i="1"/>
  <c r="AQ7" i="1"/>
  <c r="AR7" i="1"/>
  <c r="AS7" i="1"/>
  <c r="AT7" i="1"/>
  <c r="AV7" i="1"/>
  <c r="AW7" i="1"/>
  <c r="AY7" i="1"/>
  <c r="BL7" i="1"/>
  <c r="BM7" i="1"/>
  <c r="BN7" i="1"/>
  <c r="BQ7" i="1"/>
  <c r="BS7" i="1"/>
  <c r="I6" i="1"/>
  <c r="J6" i="1"/>
  <c r="K6" i="1"/>
  <c r="L6" i="1"/>
  <c r="M6" i="1"/>
  <c r="N6" i="1"/>
  <c r="O6" i="1"/>
  <c r="P6" i="1"/>
  <c r="Q6" i="1"/>
  <c r="R6" i="1"/>
  <c r="S6" i="1"/>
  <c r="T6" i="1"/>
  <c r="U6" i="1"/>
  <c r="V6" i="1"/>
  <c r="W6" i="1"/>
  <c r="X6" i="1"/>
  <c r="Y6" i="1"/>
  <c r="Z6" i="1"/>
  <c r="AA6" i="1"/>
  <c r="AB6" i="1"/>
  <c r="AC6" i="1"/>
  <c r="AD6" i="1"/>
  <c r="AE6" i="1"/>
  <c r="AF6" i="1"/>
  <c r="AG6" i="1"/>
  <c r="AH6" i="1"/>
  <c r="AI6" i="1"/>
  <c r="AJ6" i="1"/>
  <c r="AQ6" i="1"/>
  <c r="AR6" i="1"/>
  <c r="AS6" i="1"/>
  <c r="AT6" i="1"/>
  <c r="AV6" i="1"/>
  <c r="AW6" i="1"/>
  <c r="AY6" i="1"/>
  <c r="BL6" i="1"/>
  <c r="BM6" i="1"/>
  <c r="BN6" i="1"/>
  <c r="BQ6" i="1"/>
  <c r="BS6" i="1"/>
  <c r="I3" i="1"/>
  <c r="J3" i="1"/>
  <c r="K3" i="1"/>
  <c r="L3" i="1"/>
  <c r="M3" i="1"/>
  <c r="N3" i="1"/>
  <c r="O3" i="1"/>
  <c r="P3" i="1"/>
  <c r="Q3" i="1"/>
  <c r="R3" i="1"/>
  <c r="S3" i="1"/>
  <c r="T3" i="1"/>
  <c r="U3" i="1"/>
  <c r="V3" i="1"/>
  <c r="W3" i="1"/>
  <c r="X3" i="1"/>
  <c r="Y3" i="1"/>
  <c r="Z3" i="1"/>
  <c r="AA3" i="1"/>
  <c r="AB3" i="1"/>
  <c r="AC3" i="1"/>
  <c r="AD3" i="1"/>
  <c r="AE3" i="1"/>
  <c r="AF3" i="1"/>
  <c r="AG3" i="1"/>
  <c r="AH3" i="1"/>
  <c r="AI3" i="1"/>
  <c r="AJ3" i="1"/>
  <c r="AQ3" i="1"/>
  <c r="AR3" i="1"/>
  <c r="AS3" i="1"/>
  <c r="AT3" i="1"/>
  <c r="AV3" i="1"/>
  <c r="AW3" i="1"/>
  <c r="AY3" i="1"/>
  <c r="BL3" i="1"/>
  <c r="BM3" i="1"/>
  <c r="BN3" i="1"/>
  <c r="BQ3" i="1"/>
  <c r="BS3" i="1"/>
  <c r="I4" i="1"/>
  <c r="J4" i="1"/>
  <c r="K4" i="1"/>
  <c r="L4" i="1"/>
  <c r="M4" i="1"/>
  <c r="N4" i="1"/>
  <c r="O4" i="1"/>
  <c r="P4" i="1"/>
  <c r="Q4" i="1"/>
  <c r="R4" i="1"/>
  <c r="S4" i="1"/>
  <c r="T4" i="1"/>
  <c r="U4" i="1"/>
  <c r="V4" i="1"/>
  <c r="W4" i="1"/>
  <c r="X4" i="1"/>
  <c r="Y4" i="1"/>
  <c r="Z4" i="1"/>
  <c r="AA4" i="1"/>
  <c r="AB4" i="1"/>
  <c r="AC4" i="1"/>
  <c r="AD4" i="1"/>
  <c r="AE4" i="1"/>
  <c r="AF4" i="1"/>
  <c r="AG4" i="1"/>
  <c r="AH4" i="1"/>
  <c r="AI4" i="1"/>
  <c r="AJ4" i="1"/>
  <c r="AQ4" i="1"/>
  <c r="AR4" i="1"/>
  <c r="AS4" i="1"/>
  <c r="AT4" i="1"/>
  <c r="AV4" i="1"/>
  <c r="AW4" i="1"/>
  <c r="AY4" i="1"/>
  <c r="BL4" i="1"/>
  <c r="BM4" i="1"/>
  <c r="BN4" i="1"/>
  <c r="BQ4" i="1"/>
  <c r="BS4" i="1"/>
  <c r="I5" i="1"/>
  <c r="J5" i="1"/>
  <c r="K5" i="1"/>
  <c r="L5" i="1"/>
  <c r="M5" i="1"/>
  <c r="N5" i="1"/>
  <c r="O5" i="1"/>
  <c r="P5" i="1"/>
  <c r="Q5" i="1"/>
  <c r="R5" i="1"/>
  <c r="S5" i="1"/>
  <c r="T5" i="1"/>
  <c r="U5" i="1"/>
  <c r="V5" i="1"/>
  <c r="W5" i="1"/>
  <c r="X5" i="1"/>
  <c r="Y5" i="1"/>
  <c r="Z5" i="1"/>
  <c r="AA5" i="1"/>
  <c r="AB5" i="1"/>
  <c r="AC5" i="1"/>
  <c r="AD5" i="1"/>
  <c r="AE5" i="1"/>
  <c r="AF5" i="1"/>
  <c r="AG5" i="1"/>
  <c r="AH5" i="1"/>
  <c r="AI5" i="1"/>
  <c r="AJ5" i="1"/>
  <c r="AQ5" i="1"/>
  <c r="AR5" i="1"/>
  <c r="AS5" i="1"/>
  <c r="AT5" i="1"/>
  <c r="AV5" i="1"/>
  <c r="AW5" i="1"/>
  <c r="AY5" i="1"/>
  <c r="BL5" i="1"/>
  <c r="BM5" i="1"/>
  <c r="BN5" i="1"/>
  <c r="BQ5" i="1"/>
  <c r="BS5" i="1"/>
  <c r="I2" i="1"/>
  <c r="J2" i="1"/>
  <c r="K2" i="1"/>
  <c r="L2" i="1"/>
  <c r="M2" i="1"/>
  <c r="N2" i="1"/>
  <c r="O2" i="1"/>
  <c r="P2" i="1"/>
  <c r="Q2" i="1"/>
  <c r="R2" i="1"/>
  <c r="S2" i="1"/>
  <c r="T2" i="1"/>
  <c r="U2" i="1"/>
  <c r="V2" i="1"/>
  <c r="W2" i="1"/>
  <c r="X2" i="1"/>
  <c r="Y2" i="1"/>
  <c r="Z2" i="1"/>
  <c r="AA2" i="1"/>
  <c r="AB2" i="1"/>
  <c r="AC2" i="1"/>
  <c r="AD2" i="1"/>
  <c r="AE2" i="1"/>
  <c r="AF2" i="1"/>
  <c r="AG2" i="1"/>
  <c r="AH2" i="1"/>
  <c r="AI2" i="1"/>
  <c r="AJ2" i="1"/>
  <c r="AQ2" i="1"/>
  <c r="AR2" i="1"/>
  <c r="AS2" i="1"/>
  <c r="AT2" i="1"/>
  <c r="AV2" i="1"/>
  <c r="AW2" i="1"/>
  <c r="AY2" i="1"/>
  <c r="BL2" i="1"/>
  <c r="BM2" i="1"/>
  <c r="BN2" i="1"/>
  <c r="BQ2" i="1"/>
  <c r="BS2" i="1"/>
  <c r="I85" i="1"/>
  <c r="J85" i="1"/>
  <c r="K85" i="1"/>
  <c r="L85" i="1"/>
  <c r="M85" i="1"/>
  <c r="N85" i="1"/>
  <c r="O85" i="1"/>
  <c r="P85" i="1"/>
  <c r="Q85" i="1"/>
  <c r="R85" i="1"/>
  <c r="S85" i="1"/>
  <c r="T85" i="1"/>
  <c r="U85" i="1"/>
  <c r="V85" i="1"/>
  <c r="W85" i="1"/>
  <c r="X85" i="1"/>
  <c r="Y85" i="1"/>
  <c r="Z85" i="1"/>
  <c r="AA85" i="1"/>
  <c r="AB85" i="1"/>
  <c r="AC85" i="1"/>
  <c r="AD85" i="1"/>
  <c r="AE85" i="1"/>
  <c r="AF85" i="1"/>
  <c r="AG85" i="1"/>
  <c r="AH85" i="1"/>
  <c r="AI85" i="1"/>
  <c r="AJ85" i="1"/>
  <c r="AQ85" i="1"/>
  <c r="AR85" i="1"/>
  <c r="AS85" i="1"/>
  <c r="AT85" i="1"/>
  <c r="AV85" i="1"/>
  <c r="AW85" i="1"/>
  <c r="AY85" i="1"/>
  <c r="BL85" i="1"/>
  <c r="BM85" i="1"/>
  <c r="BN85" i="1"/>
  <c r="BQ85" i="1"/>
  <c r="BS85" i="1"/>
  <c r="I84" i="1"/>
  <c r="J84" i="1"/>
  <c r="K84" i="1"/>
  <c r="L84" i="1"/>
  <c r="M84" i="1"/>
  <c r="N84" i="1"/>
  <c r="O84" i="1"/>
  <c r="P84" i="1"/>
  <c r="Q84" i="1"/>
  <c r="R84" i="1"/>
  <c r="S84" i="1"/>
  <c r="T84" i="1"/>
  <c r="U84" i="1"/>
  <c r="V84" i="1"/>
  <c r="W84" i="1"/>
  <c r="X84" i="1"/>
  <c r="Y84" i="1"/>
  <c r="Z84" i="1"/>
  <c r="AA84" i="1"/>
  <c r="AB84" i="1"/>
  <c r="AC84" i="1"/>
  <c r="AD84" i="1"/>
  <c r="AE84" i="1"/>
  <c r="AF84" i="1"/>
  <c r="AG84" i="1"/>
  <c r="AH84" i="1"/>
  <c r="AI84" i="1"/>
  <c r="AJ84" i="1"/>
  <c r="AQ84" i="1"/>
  <c r="AR84" i="1"/>
  <c r="AS84" i="1"/>
  <c r="AT84" i="1"/>
  <c r="AV84" i="1"/>
  <c r="AW84" i="1"/>
  <c r="AY84" i="1"/>
  <c r="BL84" i="1"/>
  <c r="BM84" i="1"/>
  <c r="BN84" i="1"/>
  <c r="BQ84" i="1"/>
  <c r="BS84" i="1"/>
  <c r="I83" i="1"/>
  <c r="J83" i="1"/>
  <c r="K83" i="1"/>
  <c r="L83" i="1"/>
  <c r="M83" i="1"/>
  <c r="N83" i="1"/>
  <c r="O83" i="1"/>
  <c r="P83" i="1"/>
  <c r="Q83" i="1"/>
  <c r="R83" i="1"/>
  <c r="S83" i="1"/>
  <c r="T83" i="1"/>
  <c r="U83" i="1"/>
  <c r="V83" i="1"/>
  <c r="W83" i="1"/>
  <c r="X83" i="1"/>
  <c r="Y83" i="1"/>
  <c r="Z83" i="1"/>
  <c r="AA83" i="1"/>
  <c r="AB83" i="1"/>
  <c r="AC83" i="1"/>
  <c r="AD83" i="1"/>
  <c r="AE83" i="1"/>
  <c r="AF83" i="1"/>
  <c r="AG83" i="1"/>
  <c r="AH83" i="1"/>
  <c r="AI83" i="1"/>
  <c r="AJ83" i="1"/>
  <c r="AQ83" i="1"/>
  <c r="AR83" i="1"/>
  <c r="AS83" i="1"/>
  <c r="AT83" i="1"/>
  <c r="AV83" i="1"/>
  <c r="AW83" i="1"/>
  <c r="AY83" i="1"/>
  <c r="BL83" i="1"/>
  <c r="BM83" i="1"/>
  <c r="BN83" i="1"/>
  <c r="BQ83" i="1"/>
  <c r="BS83" i="1"/>
  <c r="I82" i="1"/>
  <c r="J82" i="1"/>
  <c r="K82" i="1"/>
  <c r="L82" i="1"/>
  <c r="M82" i="1"/>
  <c r="N82" i="1"/>
  <c r="O82" i="1"/>
  <c r="P82" i="1"/>
  <c r="Q82" i="1"/>
  <c r="R82" i="1"/>
  <c r="S82" i="1"/>
  <c r="T82" i="1"/>
  <c r="U82" i="1"/>
  <c r="V82" i="1"/>
  <c r="W82" i="1"/>
  <c r="X82" i="1"/>
  <c r="Y82" i="1"/>
  <c r="Z82" i="1"/>
  <c r="AA82" i="1"/>
  <c r="AB82" i="1"/>
  <c r="AC82" i="1"/>
  <c r="AD82" i="1"/>
  <c r="AE82" i="1"/>
  <c r="AF82" i="1"/>
  <c r="AG82" i="1"/>
  <c r="AH82" i="1"/>
  <c r="AI82" i="1"/>
  <c r="AJ82" i="1"/>
  <c r="AQ82" i="1"/>
  <c r="AR82" i="1"/>
  <c r="AS82" i="1"/>
  <c r="AT82" i="1"/>
  <c r="AV82" i="1"/>
  <c r="AW82" i="1"/>
  <c r="AY82" i="1"/>
  <c r="BL82" i="1"/>
  <c r="BM82" i="1"/>
  <c r="BN82" i="1"/>
  <c r="BQ82" i="1"/>
  <c r="BS82" i="1"/>
  <c r="I81" i="1"/>
  <c r="J81" i="1"/>
  <c r="K81" i="1"/>
  <c r="L81" i="1"/>
  <c r="M81" i="1"/>
  <c r="N81" i="1"/>
  <c r="O81" i="1"/>
  <c r="P81" i="1"/>
  <c r="Q81" i="1"/>
  <c r="R81" i="1"/>
  <c r="S81" i="1"/>
  <c r="T81" i="1"/>
  <c r="U81" i="1"/>
  <c r="V81" i="1"/>
  <c r="W81" i="1"/>
  <c r="X81" i="1"/>
  <c r="Y81" i="1"/>
  <c r="Z81" i="1"/>
  <c r="AA81" i="1"/>
  <c r="AB81" i="1"/>
  <c r="AC81" i="1"/>
  <c r="AD81" i="1"/>
  <c r="AE81" i="1"/>
  <c r="AF81" i="1"/>
  <c r="AG81" i="1"/>
  <c r="AH81" i="1"/>
  <c r="AI81" i="1"/>
  <c r="AJ81" i="1"/>
  <c r="AQ81" i="1"/>
  <c r="AR81" i="1"/>
  <c r="AS81" i="1"/>
  <c r="AT81" i="1"/>
  <c r="AV81" i="1"/>
  <c r="AW81" i="1"/>
  <c r="AY81" i="1"/>
  <c r="BL81" i="1"/>
  <c r="BM81" i="1"/>
  <c r="BN81" i="1"/>
  <c r="BQ81" i="1"/>
  <c r="BS81" i="1"/>
  <c r="I80" i="1"/>
  <c r="J80" i="1"/>
  <c r="K80" i="1"/>
  <c r="L80" i="1"/>
  <c r="M80" i="1"/>
  <c r="N80" i="1"/>
  <c r="O80" i="1"/>
  <c r="P80" i="1"/>
  <c r="Q80" i="1"/>
  <c r="R80" i="1"/>
  <c r="S80" i="1"/>
  <c r="T80" i="1"/>
  <c r="U80" i="1"/>
  <c r="V80" i="1"/>
  <c r="W80" i="1"/>
  <c r="X80" i="1"/>
  <c r="Y80" i="1"/>
  <c r="Z80" i="1"/>
  <c r="AA80" i="1"/>
  <c r="AB80" i="1"/>
  <c r="AC80" i="1"/>
  <c r="AD80" i="1"/>
  <c r="AE80" i="1"/>
  <c r="AF80" i="1"/>
  <c r="AG80" i="1"/>
  <c r="AH80" i="1"/>
  <c r="AI80" i="1"/>
  <c r="AJ80" i="1"/>
  <c r="AQ80" i="1"/>
  <c r="AR80" i="1"/>
  <c r="AS80" i="1"/>
  <c r="AT80" i="1"/>
  <c r="AV80" i="1"/>
  <c r="AW80" i="1"/>
  <c r="AY80" i="1"/>
  <c r="BL80" i="1"/>
  <c r="BM80" i="1"/>
  <c r="BN80" i="1"/>
  <c r="BQ80" i="1"/>
  <c r="BS80" i="1"/>
  <c r="I77" i="1"/>
  <c r="J77" i="1"/>
  <c r="K77" i="1"/>
  <c r="L77" i="1"/>
  <c r="M77" i="1"/>
  <c r="N77" i="1"/>
  <c r="O77" i="1"/>
  <c r="P77" i="1"/>
  <c r="Q77" i="1"/>
  <c r="R77" i="1"/>
  <c r="S77" i="1"/>
  <c r="T77" i="1"/>
  <c r="U77" i="1"/>
  <c r="V77" i="1"/>
  <c r="W77" i="1"/>
  <c r="X77" i="1"/>
  <c r="Y77" i="1"/>
  <c r="Z77" i="1"/>
  <c r="AA77" i="1"/>
  <c r="AB77" i="1"/>
  <c r="AC77" i="1"/>
  <c r="AD77" i="1"/>
  <c r="AE77" i="1"/>
  <c r="AF77" i="1"/>
  <c r="AG77" i="1"/>
  <c r="AH77" i="1"/>
  <c r="AI77" i="1"/>
  <c r="AJ77" i="1"/>
  <c r="AQ77" i="1"/>
  <c r="AR77" i="1"/>
  <c r="AS77" i="1"/>
  <c r="AT77" i="1"/>
  <c r="AV77" i="1"/>
  <c r="AW77" i="1"/>
  <c r="AY77" i="1"/>
  <c r="BL77" i="1"/>
  <c r="BM77" i="1"/>
  <c r="BN77" i="1"/>
  <c r="BQ77" i="1"/>
  <c r="BS77" i="1"/>
  <c r="I78" i="1"/>
  <c r="J78" i="1"/>
  <c r="K78" i="1"/>
  <c r="L78" i="1"/>
  <c r="M78" i="1"/>
  <c r="N78" i="1"/>
  <c r="O78" i="1"/>
  <c r="P78" i="1"/>
  <c r="Q78" i="1"/>
  <c r="R78" i="1"/>
  <c r="S78" i="1"/>
  <c r="T78" i="1"/>
  <c r="U78" i="1"/>
  <c r="V78" i="1"/>
  <c r="W78" i="1"/>
  <c r="X78" i="1"/>
  <c r="Y78" i="1"/>
  <c r="Z78" i="1"/>
  <c r="AA78" i="1"/>
  <c r="AB78" i="1"/>
  <c r="AC78" i="1"/>
  <c r="AD78" i="1"/>
  <c r="AE78" i="1"/>
  <c r="AF78" i="1"/>
  <c r="AG78" i="1"/>
  <c r="AH78" i="1"/>
  <c r="AI78" i="1"/>
  <c r="AJ78" i="1"/>
  <c r="AQ78" i="1"/>
  <c r="AR78" i="1"/>
  <c r="AS78" i="1"/>
  <c r="AT78" i="1"/>
  <c r="AV78" i="1"/>
  <c r="AW78" i="1"/>
  <c r="AY78" i="1"/>
  <c r="BL78" i="1"/>
  <c r="BM78" i="1"/>
  <c r="BN78" i="1"/>
  <c r="BQ78" i="1"/>
  <c r="BS78" i="1"/>
  <c r="I79" i="1"/>
  <c r="J79" i="1"/>
  <c r="K79" i="1"/>
  <c r="L79" i="1"/>
  <c r="M79" i="1"/>
  <c r="N79" i="1"/>
  <c r="O79" i="1"/>
  <c r="P79" i="1"/>
  <c r="Q79" i="1"/>
  <c r="R79" i="1"/>
  <c r="S79" i="1"/>
  <c r="T79" i="1"/>
  <c r="U79" i="1"/>
  <c r="V79" i="1"/>
  <c r="W79" i="1"/>
  <c r="X79" i="1"/>
  <c r="Y79" i="1"/>
  <c r="Z79" i="1"/>
  <c r="AA79" i="1"/>
  <c r="AB79" i="1"/>
  <c r="AC79" i="1"/>
  <c r="AD79" i="1"/>
  <c r="AE79" i="1"/>
  <c r="AF79" i="1"/>
  <c r="AG79" i="1"/>
  <c r="AH79" i="1"/>
  <c r="AI79" i="1"/>
  <c r="AJ79" i="1"/>
  <c r="AQ79" i="1"/>
  <c r="AR79" i="1"/>
  <c r="AS79" i="1"/>
  <c r="AT79" i="1"/>
  <c r="AV79" i="1"/>
  <c r="AW79" i="1"/>
  <c r="AY79" i="1"/>
  <c r="BL79" i="1"/>
  <c r="BM79" i="1"/>
  <c r="BN79" i="1"/>
  <c r="BQ79" i="1"/>
  <c r="BS79" i="1"/>
  <c r="I76" i="1"/>
  <c r="J76" i="1"/>
  <c r="K76" i="1"/>
  <c r="L76" i="1"/>
  <c r="M76" i="1"/>
  <c r="N76" i="1"/>
  <c r="O76" i="1"/>
  <c r="P76" i="1"/>
  <c r="Q76" i="1"/>
  <c r="R76" i="1"/>
  <c r="S76" i="1"/>
  <c r="T76" i="1"/>
  <c r="U76" i="1"/>
  <c r="V76" i="1"/>
  <c r="W76" i="1"/>
  <c r="X76" i="1"/>
  <c r="Y76" i="1"/>
  <c r="Z76" i="1"/>
  <c r="AA76" i="1"/>
  <c r="AB76" i="1"/>
  <c r="AC76" i="1"/>
  <c r="AD76" i="1"/>
  <c r="AE76" i="1"/>
  <c r="AF76" i="1"/>
  <c r="AG76" i="1"/>
  <c r="AH76" i="1"/>
  <c r="AI76" i="1"/>
  <c r="AJ76" i="1"/>
  <c r="AQ76" i="1"/>
  <c r="AR76" i="1"/>
  <c r="AS76" i="1"/>
  <c r="AT76" i="1"/>
  <c r="AV76" i="1"/>
  <c r="AW76" i="1"/>
  <c r="BL76" i="1"/>
  <c r="BM76" i="1"/>
  <c r="BN76" i="1"/>
  <c r="BQ76" i="1"/>
  <c r="BS76" i="1"/>
  <c r="I75" i="1"/>
  <c r="J75" i="1"/>
  <c r="K75" i="1"/>
  <c r="L75" i="1"/>
  <c r="M75" i="1"/>
  <c r="N75" i="1"/>
  <c r="O75" i="1"/>
  <c r="P75" i="1"/>
  <c r="Q75" i="1"/>
  <c r="R75" i="1"/>
  <c r="S75" i="1"/>
  <c r="T75" i="1"/>
  <c r="U75" i="1"/>
  <c r="V75" i="1"/>
  <c r="W75" i="1"/>
  <c r="X75" i="1"/>
  <c r="Y75" i="1"/>
  <c r="Z75" i="1"/>
  <c r="AA75" i="1"/>
  <c r="AB75" i="1"/>
  <c r="AC75" i="1"/>
  <c r="AD75" i="1"/>
  <c r="AE75" i="1"/>
  <c r="AF75" i="1"/>
  <c r="AG75" i="1"/>
  <c r="AH75" i="1"/>
  <c r="AI75" i="1"/>
  <c r="AJ75" i="1"/>
  <c r="AQ75" i="1"/>
  <c r="AR75" i="1"/>
  <c r="AS75" i="1"/>
  <c r="AT75" i="1"/>
  <c r="AV75" i="1"/>
  <c r="AW75" i="1"/>
  <c r="AY75" i="1"/>
  <c r="BL75" i="1"/>
  <c r="BM75" i="1"/>
  <c r="BN75" i="1"/>
  <c r="BQ75" i="1"/>
  <c r="BS75" i="1"/>
  <c r="I74" i="1"/>
  <c r="J74" i="1"/>
  <c r="K74" i="1"/>
  <c r="L74" i="1"/>
  <c r="M74" i="1"/>
  <c r="N74" i="1"/>
  <c r="O74" i="1"/>
  <c r="P74" i="1"/>
  <c r="Q74" i="1"/>
  <c r="R74" i="1"/>
  <c r="S74" i="1"/>
  <c r="T74" i="1"/>
  <c r="U74" i="1"/>
  <c r="V74" i="1"/>
  <c r="W74" i="1"/>
  <c r="X74" i="1"/>
  <c r="Y74" i="1"/>
  <c r="Z74" i="1"/>
  <c r="AA74" i="1"/>
  <c r="AB74" i="1"/>
  <c r="AC74" i="1"/>
  <c r="AD74" i="1"/>
  <c r="AE74" i="1"/>
  <c r="AF74" i="1"/>
  <c r="AG74" i="1"/>
  <c r="AH74" i="1"/>
  <c r="AI74" i="1"/>
  <c r="AJ74" i="1"/>
  <c r="AQ74" i="1"/>
  <c r="AR74" i="1"/>
  <c r="AS74" i="1"/>
  <c r="AT74" i="1"/>
  <c r="AV74" i="1"/>
  <c r="AW74" i="1"/>
  <c r="AY74" i="1"/>
  <c r="BL74" i="1"/>
  <c r="BM74" i="1"/>
  <c r="BN74" i="1"/>
  <c r="BQ74" i="1"/>
  <c r="BS74" i="1"/>
  <c r="I73" i="1"/>
  <c r="J73" i="1"/>
  <c r="K73" i="1"/>
  <c r="L73" i="1"/>
  <c r="M73" i="1"/>
  <c r="N73" i="1"/>
  <c r="O73" i="1"/>
  <c r="P73" i="1"/>
  <c r="Q73" i="1"/>
  <c r="R73" i="1"/>
  <c r="S73" i="1"/>
  <c r="T73" i="1"/>
  <c r="U73" i="1"/>
  <c r="V73" i="1"/>
  <c r="W73" i="1"/>
  <c r="X73" i="1"/>
  <c r="Y73" i="1"/>
  <c r="Z73" i="1"/>
  <c r="AA73" i="1"/>
  <c r="AB73" i="1"/>
  <c r="AC73" i="1"/>
  <c r="AD73" i="1"/>
  <c r="AE73" i="1"/>
  <c r="AF73" i="1"/>
  <c r="AG73" i="1"/>
  <c r="AH73" i="1"/>
  <c r="AI73" i="1"/>
  <c r="AJ73" i="1"/>
  <c r="AQ73" i="1"/>
  <c r="AR73" i="1"/>
  <c r="AS73" i="1"/>
  <c r="AT73" i="1"/>
  <c r="AV73" i="1"/>
  <c r="AW73" i="1"/>
  <c r="AY73" i="1"/>
  <c r="BL73" i="1"/>
  <c r="BM73" i="1"/>
  <c r="BN73" i="1"/>
  <c r="BQ73" i="1"/>
  <c r="BS73"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Q72" i="1"/>
  <c r="AR72" i="1"/>
  <c r="AS72" i="1"/>
  <c r="AT72" i="1"/>
  <c r="AV72" i="1"/>
  <c r="AW72" i="1"/>
  <c r="AY72" i="1"/>
  <c r="BL72" i="1"/>
  <c r="BM72" i="1"/>
  <c r="BN72" i="1"/>
  <c r="BQ72" i="1"/>
  <c r="BS72" i="1"/>
  <c r="I71" i="1"/>
  <c r="J71" i="1"/>
  <c r="K71" i="1"/>
  <c r="L71" i="1"/>
  <c r="M71" i="1"/>
  <c r="N71" i="1"/>
  <c r="O71" i="1"/>
  <c r="P71" i="1"/>
  <c r="Q71" i="1"/>
  <c r="R71" i="1"/>
  <c r="S71" i="1"/>
  <c r="T71" i="1"/>
  <c r="U71" i="1"/>
  <c r="V71" i="1"/>
  <c r="W71" i="1"/>
  <c r="X71" i="1"/>
  <c r="Y71" i="1"/>
  <c r="Z71" i="1"/>
  <c r="AA71" i="1"/>
  <c r="AB71" i="1"/>
  <c r="AC71" i="1"/>
  <c r="AD71" i="1"/>
  <c r="AE71" i="1"/>
  <c r="AF71" i="1"/>
  <c r="AG71" i="1"/>
  <c r="AH71" i="1"/>
  <c r="AI71" i="1"/>
  <c r="AJ71" i="1"/>
  <c r="AQ71" i="1"/>
  <c r="AR71" i="1"/>
  <c r="AS71" i="1"/>
  <c r="AT71" i="1"/>
  <c r="AV71" i="1"/>
  <c r="AW71" i="1"/>
  <c r="AY71" i="1"/>
  <c r="BL71" i="1"/>
  <c r="BM71" i="1"/>
  <c r="BN71" i="1"/>
  <c r="BQ71" i="1"/>
  <c r="BS71" i="1"/>
  <c r="I70" i="1"/>
  <c r="J70" i="1"/>
  <c r="K70" i="1"/>
  <c r="L70" i="1"/>
  <c r="M70" i="1"/>
  <c r="N70" i="1"/>
  <c r="O70" i="1"/>
  <c r="P70" i="1"/>
  <c r="Q70" i="1"/>
  <c r="R70" i="1"/>
  <c r="S70" i="1"/>
  <c r="T70" i="1"/>
  <c r="U70" i="1"/>
  <c r="V70" i="1"/>
  <c r="W70" i="1"/>
  <c r="X70" i="1"/>
  <c r="Y70" i="1"/>
  <c r="Z70" i="1"/>
  <c r="AA70" i="1"/>
  <c r="AB70" i="1"/>
  <c r="AC70" i="1"/>
  <c r="AD70" i="1"/>
  <c r="AE70" i="1"/>
  <c r="AF70" i="1"/>
  <c r="AG70" i="1"/>
  <c r="AH70" i="1"/>
  <c r="AI70" i="1"/>
  <c r="AJ70" i="1"/>
  <c r="AQ70" i="1"/>
  <c r="AR70" i="1"/>
  <c r="AS70" i="1"/>
  <c r="AT70" i="1"/>
  <c r="AV70" i="1"/>
  <c r="AW70" i="1"/>
  <c r="AY70" i="1"/>
  <c r="BL70" i="1"/>
  <c r="BM70" i="1"/>
  <c r="BN70" i="1"/>
  <c r="BQ70" i="1"/>
  <c r="BS70" i="1"/>
  <c r="I69" i="1"/>
  <c r="J69" i="1"/>
  <c r="K69" i="1"/>
  <c r="L69" i="1"/>
  <c r="M69" i="1"/>
  <c r="N69" i="1"/>
  <c r="O69" i="1"/>
  <c r="P69" i="1"/>
  <c r="Q69" i="1"/>
  <c r="R69" i="1"/>
  <c r="S69" i="1"/>
  <c r="T69" i="1"/>
  <c r="U69" i="1"/>
  <c r="V69" i="1"/>
  <c r="W69" i="1"/>
  <c r="X69" i="1"/>
  <c r="Y69" i="1"/>
  <c r="Z69" i="1"/>
  <c r="AA69" i="1"/>
  <c r="AB69" i="1"/>
  <c r="AC69" i="1"/>
  <c r="AD69" i="1"/>
  <c r="AE69" i="1"/>
  <c r="AF69" i="1"/>
  <c r="AG69" i="1"/>
  <c r="AH69" i="1"/>
  <c r="AI69" i="1"/>
  <c r="AJ69" i="1"/>
  <c r="AQ69" i="1"/>
  <c r="AR69" i="1"/>
  <c r="AS69" i="1"/>
  <c r="AT69" i="1"/>
  <c r="AV69" i="1"/>
  <c r="AW69" i="1"/>
  <c r="AY69" i="1"/>
  <c r="BL69" i="1"/>
  <c r="BM69" i="1"/>
  <c r="BN69" i="1"/>
  <c r="BQ69" i="1"/>
  <c r="BS69"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Q68" i="1"/>
  <c r="AR68" i="1"/>
  <c r="AS68" i="1"/>
  <c r="AT68" i="1"/>
  <c r="AV68" i="1"/>
  <c r="AW68" i="1"/>
  <c r="AY68" i="1"/>
  <c r="BL68" i="1"/>
  <c r="BM68" i="1"/>
  <c r="BN68" i="1"/>
  <c r="BQ68" i="1"/>
  <c r="BS68" i="1"/>
  <c r="I66" i="1"/>
  <c r="J66" i="1"/>
  <c r="K66" i="1"/>
  <c r="L66" i="1"/>
  <c r="M66" i="1"/>
  <c r="N66" i="1"/>
  <c r="O66" i="1"/>
  <c r="P66" i="1"/>
  <c r="Q66" i="1"/>
  <c r="R66" i="1"/>
  <c r="S66" i="1"/>
  <c r="T66" i="1"/>
  <c r="U66" i="1"/>
  <c r="V66" i="1"/>
  <c r="W66" i="1"/>
  <c r="X66" i="1"/>
  <c r="Y66" i="1"/>
  <c r="Z66" i="1"/>
  <c r="AA66" i="1"/>
  <c r="AB66" i="1"/>
  <c r="AC66" i="1"/>
  <c r="AD66" i="1"/>
  <c r="AE66" i="1"/>
  <c r="AF66" i="1"/>
  <c r="AG66" i="1"/>
  <c r="AH66" i="1"/>
  <c r="AI66" i="1"/>
  <c r="AJ66" i="1"/>
  <c r="AQ66" i="1"/>
  <c r="AR66" i="1"/>
  <c r="AS66" i="1"/>
  <c r="AT66" i="1"/>
  <c r="AV66" i="1"/>
  <c r="AW66" i="1"/>
  <c r="AY66" i="1"/>
  <c r="BL66" i="1"/>
  <c r="BM66" i="1"/>
  <c r="BN66" i="1"/>
  <c r="BQ66" i="1"/>
  <c r="BS66" i="1"/>
  <c r="I67" i="1"/>
  <c r="J67" i="1"/>
  <c r="K67" i="1"/>
  <c r="L67" i="1"/>
  <c r="M67" i="1"/>
  <c r="N67" i="1"/>
  <c r="O67" i="1"/>
  <c r="P67" i="1"/>
  <c r="Q67" i="1"/>
  <c r="R67" i="1"/>
  <c r="S67" i="1"/>
  <c r="T67" i="1"/>
  <c r="U67" i="1"/>
  <c r="V67" i="1"/>
  <c r="W67" i="1"/>
  <c r="X67" i="1"/>
  <c r="Y67" i="1"/>
  <c r="Z67" i="1"/>
  <c r="AA67" i="1"/>
  <c r="AB67" i="1"/>
  <c r="AC67" i="1"/>
  <c r="AD67" i="1"/>
  <c r="AE67" i="1"/>
  <c r="AF67" i="1"/>
  <c r="AG67" i="1"/>
  <c r="AH67" i="1"/>
  <c r="AI67" i="1"/>
  <c r="AJ67" i="1"/>
  <c r="AQ67" i="1"/>
  <c r="AR67" i="1"/>
  <c r="AS67" i="1"/>
  <c r="AT67" i="1"/>
  <c r="AV67" i="1"/>
  <c r="AW67" i="1"/>
  <c r="AY67" i="1"/>
  <c r="BL67" i="1"/>
  <c r="BM67" i="1"/>
  <c r="BN67" i="1"/>
  <c r="BQ67" i="1"/>
  <c r="BS67" i="1"/>
  <c r="I65" i="1"/>
  <c r="J65" i="1"/>
  <c r="K65" i="1"/>
  <c r="L65" i="1"/>
  <c r="M65" i="1"/>
  <c r="N65" i="1"/>
  <c r="O65" i="1"/>
  <c r="P65" i="1"/>
  <c r="Q65" i="1"/>
  <c r="R65" i="1"/>
  <c r="S65" i="1"/>
  <c r="T65" i="1"/>
  <c r="U65" i="1"/>
  <c r="V65" i="1"/>
  <c r="W65" i="1"/>
  <c r="X65" i="1"/>
  <c r="Y65" i="1"/>
  <c r="Z65" i="1"/>
  <c r="AA65" i="1"/>
  <c r="AB65" i="1"/>
  <c r="AC65" i="1"/>
  <c r="AD65" i="1"/>
  <c r="AE65" i="1"/>
  <c r="AF65" i="1"/>
  <c r="AG65" i="1"/>
  <c r="AH65" i="1"/>
  <c r="AI65" i="1"/>
  <c r="AJ65" i="1"/>
  <c r="AQ65" i="1"/>
  <c r="AR65" i="1"/>
  <c r="AS65" i="1"/>
  <c r="AT65" i="1"/>
  <c r="AV65" i="1"/>
  <c r="AW65" i="1"/>
  <c r="AY65" i="1"/>
  <c r="BL65" i="1"/>
  <c r="BM65" i="1"/>
  <c r="BN65" i="1"/>
  <c r="BQ65" i="1"/>
  <c r="BS65" i="1"/>
  <c r="I63" i="1"/>
  <c r="J63" i="1"/>
  <c r="K63" i="1"/>
  <c r="L63" i="1"/>
  <c r="M63" i="1"/>
  <c r="N63" i="1"/>
  <c r="O63" i="1"/>
  <c r="P63" i="1"/>
  <c r="Q63" i="1"/>
  <c r="R63" i="1"/>
  <c r="S63" i="1"/>
  <c r="T63" i="1"/>
  <c r="U63" i="1"/>
  <c r="V63" i="1"/>
  <c r="W63" i="1"/>
  <c r="X63" i="1"/>
  <c r="Y63" i="1"/>
  <c r="Z63" i="1"/>
  <c r="AA63" i="1"/>
  <c r="AB63" i="1"/>
  <c r="AC63" i="1"/>
  <c r="AD63" i="1"/>
  <c r="AE63" i="1"/>
  <c r="AF63" i="1"/>
  <c r="AG63" i="1"/>
  <c r="AH63" i="1"/>
  <c r="AI63" i="1"/>
  <c r="AJ63" i="1"/>
  <c r="AQ63" i="1"/>
  <c r="AR63" i="1"/>
  <c r="AS63" i="1"/>
  <c r="AT63" i="1"/>
  <c r="AV63" i="1"/>
  <c r="AW63" i="1"/>
  <c r="AY63" i="1"/>
  <c r="BL63" i="1"/>
  <c r="BM63" i="1"/>
  <c r="BN63" i="1"/>
  <c r="BQ63" i="1"/>
  <c r="BS63" i="1"/>
  <c r="I64" i="1"/>
  <c r="J64" i="1"/>
  <c r="K64" i="1"/>
  <c r="L64" i="1"/>
  <c r="M64" i="1"/>
  <c r="N64" i="1"/>
  <c r="O64" i="1"/>
  <c r="P64" i="1"/>
  <c r="Q64" i="1"/>
  <c r="R64" i="1"/>
  <c r="S64" i="1"/>
  <c r="T64" i="1"/>
  <c r="U64" i="1"/>
  <c r="V64" i="1"/>
  <c r="W64" i="1"/>
  <c r="X64" i="1"/>
  <c r="Y64" i="1"/>
  <c r="Z64" i="1"/>
  <c r="AA64" i="1"/>
  <c r="AB64" i="1"/>
  <c r="AC64" i="1"/>
  <c r="AD64" i="1"/>
  <c r="AE64" i="1"/>
  <c r="AF64" i="1"/>
  <c r="AG64" i="1"/>
  <c r="AH64" i="1"/>
  <c r="AI64" i="1"/>
  <c r="AJ64" i="1"/>
  <c r="AQ64" i="1"/>
  <c r="AR64" i="1"/>
  <c r="AS64" i="1"/>
  <c r="AT64" i="1"/>
  <c r="AV64" i="1"/>
  <c r="AW64" i="1"/>
  <c r="AY64" i="1"/>
  <c r="BL64" i="1"/>
  <c r="BM64" i="1"/>
  <c r="BN64" i="1"/>
  <c r="BQ64" i="1"/>
  <c r="BS64" i="1"/>
  <c r="I62" i="1"/>
  <c r="J62" i="1"/>
  <c r="K62" i="1"/>
  <c r="L62" i="1"/>
  <c r="M62" i="1"/>
  <c r="N62" i="1"/>
  <c r="O62" i="1"/>
  <c r="P62" i="1"/>
  <c r="Q62" i="1"/>
  <c r="R62" i="1"/>
  <c r="S62" i="1"/>
  <c r="T62" i="1"/>
  <c r="U62" i="1"/>
  <c r="V62" i="1"/>
  <c r="W62" i="1"/>
  <c r="X62" i="1"/>
  <c r="Y62" i="1"/>
  <c r="Z62" i="1"/>
  <c r="AA62" i="1"/>
  <c r="AB62" i="1"/>
  <c r="AC62" i="1"/>
  <c r="AD62" i="1"/>
  <c r="AE62" i="1"/>
  <c r="AF62" i="1"/>
  <c r="AG62" i="1"/>
  <c r="AH62" i="1"/>
  <c r="AI62" i="1"/>
  <c r="AJ62" i="1"/>
  <c r="AQ62" i="1"/>
  <c r="AR62" i="1"/>
  <c r="AS62" i="1"/>
  <c r="AT62" i="1"/>
  <c r="AV62" i="1"/>
  <c r="AW62" i="1"/>
  <c r="AY62" i="1"/>
  <c r="BL62" i="1"/>
  <c r="BM62" i="1"/>
  <c r="BN62" i="1"/>
  <c r="BQ62" i="1"/>
  <c r="BS62" i="1"/>
  <c r="I61" i="1"/>
  <c r="J61" i="1"/>
  <c r="K61" i="1"/>
  <c r="L61" i="1"/>
  <c r="M61" i="1"/>
  <c r="N61" i="1"/>
  <c r="O61" i="1"/>
  <c r="P61" i="1"/>
  <c r="Q61" i="1"/>
  <c r="R61" i="1"/>
  <c r="S61" i="1"/>
  <c r="T61" i="1"/>
  <c r="U61" i="1"/>
  <c r="V61" i="1"/>
  <c r="W61" i="1"/>
  <c r="X61" i="1"/>
  <c r="Y61" i="1"/>
  <c r="Z61" i="1"/>
  <c r="AA61" i="1"/>
  <c r="AB61" i="1"/>
  <c r="AC61" i="1"/>
  <c r="AD61" i="1"/>
  <c r="AE61" i="1"/>
  <c r="AF61" i="1"/>
  <c r="AG61" i="1"/>
  <c r="AH61" i="1"/>
  <c r="AI61" i="1"/>
  <c r="AJ61" i="1"/>
  <c r="AQ61" i="1"/>
  <c r="AR61" i="1"/>
  <c r="AS61" i="1"/>
  <c r="AT61" i="1"/>
  <c r="AV61" i="1"/>
  <c r="AW61" i="1"/>
  <c r="AY61" i="1"/>
  <c r="BL61" i="1"/>
  <c r="BM61" i="1"/>
  <c r="BN61" i="1"/>
  <c r="BQ61" i="1"/>
  <c r="BS61"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Q60" i="1"/>
  <c r="AR60" i="1"/>
  <c r="AS60" i="1"/>
  <c r="AT60" i="1"/>
  <c r="AV60" i="1"/>
  <c r="AW60" i="1"/>
  <c r="AY60" i="1"/>
  <c r="BL60" i="1"/>
  <c r="BM60" i="1"/>
  <c r="BN60" i="1"/>
  <c r="BQ60" i="1"/>
  <c r="BS60" i="1"/>
  <c r="I59" i="1"/>
  <c r="J59" i="1"/>
  <c r="K59" i="1"/>
  <c r="L59" i="1"/>
  <c r="M59" i="1"/>
  <c r="N59" i="1"/>
  <c r="O59" i="1"/>
  <c r="P59" i="1"/>
  <c r="Q59" i="1"/>
  <c r="R59" i="1"/>
  <c r="S59" i="1"/>
  <c r="T59" i="1"/>
  <c r="U59" i="1"/>
  <c r="V59" i="1"/>
  <c r="W59" i="1"/>
  <c r="X59" i="1"/>
  <c r="Y59" i="1"/>
  <c r="Z59" i="1"/>
  <c r="AA59" i="1"/>
  <c r="AB59" i="1"/>
  <c r="AC59" i="1"/>
  <c r="AD59" i="1"/>
  <c r="AE59" i="1"/>
  <c r="AF59" i="1"/>
  <c r="AG59" i="1"/>
  <c r="AH59" i="1"/>
  <c r="AI59" i="1"/>
  <c r="AJ59" i="1"/>
  <c r="AQ59" i="1"/>
  <c r="AR59" i="1"/>
  <c r="AS59" i="1"/>
  <c r="AT59" i="1"/>
  <c r="AV59" i="1"/>
  <c r="AW59" i="1"/>
  <c r="AY59" i="1"/>
  <c r="BL59" i="1"/>
  <c r="BM59" i="1"/>
  <c r="BN59" i="1"/>
  <c r="BQ59" i="1"/>
  <c r="BS59" i="1"/>
</calcChain>
</file>

<file path=xl/sharedStrings.xml><?xml version="1.0" encoding="utf-8"?>
<sst xmlns="http://schemas.openxmlformats.org/spreadsheetml/2006/main" count="1705" uniqueCount="445">
  <si>
    <t>CASE_NUMBER</t>
  </si>
  <si>
    <t>CASE_STATUS</t>
  </si>
  <si>
    <t>RECEIVED_DATE</t>
  </si>
  <si>
    <t>DETERMINATION_DATE</t>
  </si>
  <si>
    <t>REDETERMINATION_DATE</t>
  </si>
  <si>
    <t>CENTER_DIRECTOR_REVIEW_DATE</t>
  </si>
  <si>
    <t>WITHDRAWAL_DATE</t>
  </si>
  <si>
    <t>VISA_CLASS</t>
  </si>
  <si>
    <t>REQUESTOR_POC_LAST_NAME</t>
  </si>
  <si>
    <t>REQUESTOR_POC_FIRST_NAME</t>
  </si>
  <si>
    <t>REQUESTOR_POC_MIDDLE_NAME</t>
  </si>
  <si>
    <t>REQUESTOR_POC_JOB_TITLE</t>
  </si>
  <si>
    <t>REQUESTOR_POC_ADDRESS1</t>
  </si>
  <si>
    <t>REQUESTOR_POC_ADDRESS2</t>
  </si>
  <si>
    <t>REQUESTOR_POC_CITY</t>
  </si>
  <si>
    <t>REQUESTOR_POC_STATE</t>
  </si>
  <si>
    <t>REQUESTOR_POC_POSTAL_CODE</t>
  </si>
  <si>
    <t>REQUESTOR_POC_COUNTRY</t>
  </si>
  <si>
    <t>REQUESTOR_POC_PROVINCE</t>
  </si>
  <si>
    <t>REQUESTOR_POC_PHONE</t>
  </si>
  <si>
    <t>REQUESTOR_POC_PHONE_EXT</t>
  </si>
  <si>
    <t>REQUESTOR_POC_FAX_NUMBER</t>
  </si>
  <si>
    <t>REQUESTOR_POC_EMAIL</t>
  </si>
  <si>
    <t>EMPLOYER_LEGAL_BUSINESS_NAME</t>
  </si>
  <si>
    <t>TRADE_NAME_DBA</t>
  </si>
  <si>
    <t>EMPLOYER_ADDRESS_1</t>
  </si>
  <si>
    <t>EMPLOYER_ADDRESS_2</t>
  </si>
  <si>
    <t>EMPLOYER_CITY</t>
  </si>
  <si>
    <t>EMPLOYER_STATE</t>
  </si>
  <si>
    <t>EMPLOYER_POSTAL_CODE</t>
  </si>
  <si>
    <t>EMPLOYER_COUNTRY</t>
  </si>
  <si>
    <t>EMPLOYER_PROVINCE</t>
  </si>
  <si>
    <t>EMPLOYER_PHONE</t>
  </si>
  <si>
    <t>EMPLOYER_EXTENSION</t>
  </si>
  <si>
    <t>EMPLOYER_FEIN</t>
  </si>
  <si>
    <t>NAICS_CODE</t>
  </si>
  <si>
    <t>COVERED_BY_ACWIA</t>
  </si>
  <si>
    <t>CBA</t>
  </si>
  <si>
    <t>DBA_SCA</t>
  </si>
  <si>
    <t>SURVEY</t>
  </si>
  <si>
    <t>SURVEY_NAME</t>
  </si>
  <si>
    <t>SURVEY_PUBLICATION_DATE</t>
  </si>
  <si>
    <t>JOB_TITLE</t>
  </si>
  <si>
    <t>SUGGESTED_SOC_CODE</t>
  </si>
  <si>
    <t>SUGGESTED_SOC_TITLE</t>
  </si>
  <si>
    <t>SUPERVISOR_JOB_TITLE</t>
  </si>
  <si>
    <t>SUPERVISE_OTHER_EMP</t>
  </si>
  <si>
    <t>SUPERVISE_HOW_MANY</t>
  </si>
  <si>
    <t>SUPERVISION_LEVEL</t>
  </si>
  <si>
    <t>TRAVEL_REQUIRED</t>
  </si>
  <si>
    <t>TRAVEL_DETAILS</t>
  </si>
  <si>
    <t>PRIMARY_EDUCATION_LEVEL</t>
  </si>
  <si>
    <t>OTHER_EDUCATION</t>
  </si>
  <si>
    <t>MAJOR</t>
  </si>
  <si>
    <t>SECOND_DIPLOMA</t>
  </si>
  <si>
    <t>SECOND_DIPLOMA_MAJOR</t>
  </si>
  <si>
    <t>TRAINING_REQUIRED</t>
  </si>
  <si>
    <t>NUMBER_OF_MONTHS_TRAINING</t>
  </si>
  <si>
    <t>NAME_REQUIRED_TRAINING</t>
  </si>
  <si>
    <t>EMP_EXPERIENCE_REQUIRED</t>
  </si>
  <si>
    <t>EMP_EXPERIENCE_MONTHS</t>
  </si>
  <si>
    <t>OCCUPATION_REQUIRED</t>
  </si>
  <si>
    <t>SPECIAL_REQUIREMENTS</t>
  </si>
  <si>
    <t>PRIMARY_WORKSITE_ADDRESS_1</t>
  </si>
  <si>
    <t>PRIMARY_WORKSITE_ADDRESS_2</t>
  </si>
  <si>
    <t>PRIMARY_WORKSITE_CITY</t>
  </si>
  <si>
    <t>PRIMARY_WORKSITE_COUNTY</t>
  </si>
  <si>
    <t>PRIMARY_WORKSITE_STATE</t>
  </si>
  <si>
    <t>PRIMARY_WORKSITE_POSTAL_CODE</t>
  </si>
  <si>
    <t>OTHER_WORKSITE_LOCATION</t>
  </si>
  <si>
    <t>PWD_SOC_CODE</t>
  </si>
  <si>
    <t>PWD_SOC_TITLE</t>
  </si>
  <si>
    <t>PWD_WAGE_RATE</t>
  </si>
  <si>
    <t>PWD_OES_WAGE_LEVEL</t>
  </si>
  <si>
    <t>PWD_UNIT_OF_PAY</t>
  </si>
  <si>
    <t>PWD_WAGE_SOURCE</t>
  </si>
  <si>
    <t>PWD_SURVEY_NAME</t>
  </si>
  <si>
    <t>WAGE_DET_NOTES</t>
  </si>
  <si>
    <t>PWD_WAGE_EXPIRATION_DATE</t>
  </si>
  <si>
    <t>P-100-19007-075901</t>
  </si>
  <si>
    <t>Withdrawn</t>
  </si>
  <si>
    <t>PERM</t>
  </si>
  <si>
    <t>Y</t>
  </si>
  <si>
    <t>N</t>
  </si>
  <si>
    <t>N/A</t>
  </si>
  <si>
    <t>="Expected to practice in the primary location of
Morgantown, WV and will also be expected to perform services at several satellite clinical sites in the state of West Virginia and additional sites to be determined based on expansion and growth of
our services and sites.
(Note: currently only working in Morgantown, WV)."</t>
  </si>
  <si>
    <t>Other degree (JD, MD, etc.)</t>
  </si>
  <si>
    <t>MD</t>
  </si>
  <si>
    <t>Medicine</t>
  </si>
  <si>
    <t>MD or DO degree or foreign educational equivalent and be eligible to obtain an unrestricted West Virginia medical license. Board certified or eligible in Pulmonary Diseases and Critical Care Medicine at the time of appointment. Sleep Medicine board eligibility/certification is also desirable. Clinical interest should include obstructive airways disease, interstitial lung disease, pulmonary hypertension, sleep, infectious lung disease or cystic fibrosis.</t>
  </si>
  <si>
    <t>MONONGALIA</t>
  </si>
  <si>
    <t>WV</t>
  </si>
  <si>
    <t>P-100-19010-768396</t>
  </si>
  <si>
    <t>Master's</t>
  </si>
  <si>
    <t>*Please see E.b.5</t>
  </si>
  <si>
    <t>**Please see E.b.5</t>
  </si>
  <si>
    <t>Position requires at least one year of experience in a financial services/money transfer organization conducting data analysis to identify trends of illicit activity within large financial data sets (greater than 3 million transactions); using Tableau calculated fields to transform and display transaction data in large datasets (greater than 3 million transactions); filing regulatory reports (SARs/STRs/SMRs) in U.S and internationally; creating and implementing risk mitigation strategies that address ICD 203-compliant analytic judgments domestically and internationally; managing multi-analyst teams in conducting ICD 203-compliant analysis of transnational organized crime, and illicit financial flows; producing intelligence analysis products that integrate open source information and analysis of large data sets to render judgments on risk posed to financial institutions; presenting analytic findings to senior management and external partners in law enforcement/national security organizations; using IBM's i2 Analyst Notebook to conduct network analysis; using Microsoft Excel functions formulas, and VBA macros.  
---------------------------------------------  
*from E.b.1b (Indicate the major(s) and/or field(s) of study required): Intelligence Analysis, International Affairs, Political Science, Law or related  
**from E.b.4b (Indicate the occupation required): Financial Intelligence Investigator, Strategic Intelligence position or related</t>
  </si>
  <si>
    <t>DENVER</t>
  </si>
  <si>
    <t>CO</t>
  </si>
  <si>
    <t>P-200-19010-884218</t>
  </si>
  <si>
    <t>H-1B</t>
  </si>
  <si>
    <t>Medical Degree</t>
  </si>
  <si>
    <t>Residency in Internal Medicine</t>
  </si>
  <si>
    <t>South Carolina Medical License; American Board of Internal Medicine Certification</t>
  </si>
  <si>
    <t>CHARLESTON</t>
  </si>
  <si>
    <t>SC</t>
  </si>
  <si>
    <t>P-100-19014-162546</t>
  </si>
  <si>
    <t>Bachelor's</t>
  </si>
  <si>
    <t>Please see Eb5</t>
  </si>
  <si>
    <t>Job offered or related position</t>
  </si>
  <si>
    <t>Requires a Bachelor's degree in Computer Science, Information Systems, Supply Chain Management, or a related field.
Requires 7 years of experience in the job offered or related position.  
Must have 7 years of experience in the following:
-  Managing technical &amp; functional aspects of Projects / Release teams focused on Omnichannel enablement / enhancement
- Implementing / supporting at least one Omnichannel program / project in a multi-brand environment
-  Manhattan Enterprise Order Management implementation &amp; Release management
-  Implementation experience of Manhattan EOM in multi-brand enterprise model
- Design, software development, database management systems and systems integration in multi-platform environments
-  Large-scale system development efforts through all stages of the project life-cycle
-  OMS integration with Corporate systems like RMS, ATG, FMW and PKMS</t>
  </si>
  <si>
    <t>LICKING</t>
  </si>
  <si>
    <t>OH</t>
  </si>
  <si>
    <t>P-100-19015-853290</t>
  </si>
  <si>
    <t>Doctorate (PhD)</t>
  </si>
  <si>
    <t>Pharmacy, Pharmacology, or rlt.</t>
  </si>
  <si>
    <t>Assoc. Spec., Research  Scholar, rlt</t>
  </si>
  <si>
    <t>Requires PhD degree in Pharmacy, Pharmacology or related field plus 5 years experience in job offered or 5 years experience in related occupation utilizing: In vitro spectrophotometric/colorimetric assays; Evaluation of antioxidant/free radical scavenging activities of compounds; Xanthine oxidase assay; 1,1-Diphenyl-2-picrydrazyl radical scavenging assay; Evaluation of cytotoxicity of compounds on cancer cell lines; Nitrite assay (Assessment of the amount of nitrite using RAW 264.7 cells); Transformation in bacteria (e.g., E. coli);  Evaluation of inhibitory effects of compounds on aromatase enzyme activities; Topoisomerase assay; In vitro cell line-based assays;  Trypan blue exclusion, sulforhodamine B, 3-(4,5-dimethylthiazol-2-yl)-2,5-diphenyltetrazolium bromide, cell counting kit-8, crystal violet staining, colony forming; 3D spheroid cell culture using hanging drop or U-bottom plate;   Quinone reductase assay using Hepa1c1c7 cells; Retinoid X receptor response element assay using COS-1 cells; 3D cell culture (Hanging drop assay); Western blot analysis; Electrophoretic mobility shift assay using a radioisotope or fluorescent dye; qPCR, microarray, analysis of microbiome in fecal samples (16s RNA); Transfection of vectors into various mammalian cell lines; Establishment of stable cell line (e.g., COX-2-expressing HCT 116 cells); Flow cytometry experiments: Cell cycle analysis using propidium iodide, nuclear isolation medium--4,6-diamidino-2-phenylindole dihydrochloride NIM-DAPI; Apoptosis analysis (propidium iodide/annexin V double staining); Measurement of reactive oxygen species (DCFH-DA, CM-H2DCF-DA); Handling equipment:  Eppendorf epMotion model 5075 Automated Liquid Handler; Li-COR Odyssey Infrared Imaging System; Perkin Elmer Geliance 1000 imager;  Applied Biosystems ABI 7300 thermocycler; Thermo Fisher Scientific NanoDrop ND-1000 spectrophotometer; BioTek plate reader; Synergy II fluorescent plate reader with Gen5 software; BMG LUMIstar Galaxy Luminometer; Data analysis and interpretation: Biostatistical softwares: SigmaPlot, Rstudio; Cell cycle analysis: ModFIT, Cell Lab Quanta SC Software for Instrument Control, Data Acquisition and Data Analysis; Band density analysis: GeneTools Software Gel Image Analysis; and TableCurve, QIAxcel ScreenGel software, epBlue, IQTL 8100.
Employer will accept any suitable combination of education, training or experience.</t>
  </si>
  <si>
    <t>NASSAU</t>
  </si>
  <si>
    <t>NY</t>
  </si>
  <si>
    <t>P-400-19016-351855</t>
  </si>
  <si>
    <t>H-2B</t>
  </si>
  <si>
    <t>Louisiana Crab and Crawfish Wage Study</t>
  </si>
  <si>
    <t>None</t>
  </si>
  <si>
    <t>Similar Occupation</t>
  </si>
  <si>
    <t>Worker may be required to take a random drug trest, post-hire, employer will pay. Testing positive or failure to comply may result in immediate termination of employment. Must be able to carry/lift 40lbs. Must not be allergic to product and/or environment. Extensive sitting and/or standing. Must peel 4lbs per hour.</t>
  </si>
  <si>
    <t>ACADIA</t>
  </si>
  <si>
    <t>LA</t>
  </si>
  <si>
    <t>P-100-19009-782085</t>
  </si>
  <si>
    <t>MEDICINE</t>
  </si>
  <si>
    <t>Oregon Medical License or eligibility for the same; Fellowship in Maternal Fetal Medicine;
Experience in clinical practice and administration within the full range of maternal/fetal medicine, both inpatient and outpatient services, and including Ultrasound and Echocardiology.</t>
  </si>
  <si>
    <t>MULTNOMAH</t>
  </si>
  <si>
    <t>OR</t>
  </si>
  <si>
    <t>P-100-19031-614853</t>
  </si>
  <si>
    <t>Economics or closely related</t>
  </si>
  <si>
    <t>Any demonstrated knowledge of (knowledge gained from coursework is acceptable):
1. Advanced theoretical understanding and practical command of modern econometric and statistical concepts and techniques; model specification testing and validation.
2. Industrial organization, including identification and estimation of models of consumer demand; price optimization; discrete optimization.
3. Numerical optimization in large-scale problems using methods such as Newton-Raphson, Gauss-Newton, L-BFGS, BHHH; associated linear algebra.</t>
  </si>
  <si>
    <t>SUFFOLK (BOSTON)</t>
  </si>
  <si>
    <t>MA</t>
  </si>
  <si>
    <t>P-100-19032-432947</t>
  </si>
  <si>
    <t>Material Science or Ferrous Metallurgy</t>
  </si>
  <si>
    <t>position involving material failure*</t>
  </si>
  <si>
    <t>*analysis, tool steel products, ferrous metallurgy, &amp; production-based root cause analysis.</t>
  </si>
  <si>
    <t>KANE</t>
  </si>
  <si>
    <t>IL</t>
  </si>
  <si>
    <t>P-200-19032-761198</t>
  </si>
  <si>
    <t>Mathematics</t>
  </si>
  <si>
    <t>TUSCALOOSA</t>
  </si>
  <si>
    <t>AL</t>
  </si>
  <si>
    <t>P-100-19035-249109</t>
  </si>
  <si>
    <t>Mechanical Engineering and related</t>
  </si>
  <si>
    <t>Production, Process, Quality Control</t>
  </si>
  <si>
    <t>none</t>
  </si>
  <si>
    <t>SAN BERNARDINO</t>
  </si>
  <si>
    <t>CA</t>
  </si>
  <si>
    <t>Level I</t>
  </si>
  <si>
    <t>Year</t>
  </si>
  <si>
    <t>OEWS</t>
  </si>
  <si>
    <t>P-100-19043-978623</t>
  </si>
  <si>
    <t>Sociology or related</t>
  </si>
  <si>
    <t>MONROE</t>
  </si>
  <si>
    <t>P-200-19044-857687</t>
  </si>
  <si>
    <t>Accounting</t>
  </si>
  <si>
    <t>H&amp;R Block Income Tax, Tax Law updates</t>
  </si>
  <si>
    <t>Prefer Master degree of Accounting with 150 credits of college coursework. Foreign language skills. Such as
Mandarin. Prefer 6 months of accounting work experience.</t>
  </si>
  <si>
    <t>DAUPHIN</t>
  </si>
  <si>
    <t>PA</t>
  </si>
  <si>
    <t>P-200-19044-868015</t>
  </si>
  <si>
    <t>Medical</t>
  </si>
  <si>
    <t>Cardiology Fellowship</t>
  </si>
  <si>
    <t>SC Medical License and Board Certification</t>
  </si>
  <si>
    <t>P-100-19051-682003</t>
  </si>
  <si>
    <t>Archtecture, Inteior Design</t>
  </si>
  <si>
    <t>Interior Design, Architecure</t>
  </si>
  <si>
    <t>AutoCAD (Advanced Experience) Adobe Photoshop (Intermediate Experience) SketchUp with VRay (Intermediate to Advanced Experience) Strong MS Office Skills: Excel, Word and PowerPoint. Proficient in Excel.</t>
  </si>
  <si>
    <t>ORANGE</t>
  </si>
  <si>
    <t>FL</t>
  </si>
  <si>
    <t>P-100-19053-783262</t>
  </si>
  <si>
    <t>Radford Global Technology Survey Custom Report</t>
  </si>
  <si>
    <t>Com Sci, Engrng, or cls rel quant dis</t>
  </si>
  <si>
    <t>Field of S/W engrg or program analysis</t>
  </si>
  <si>
    <t>1.	Python
2.	Java, 
3.	C, 
4.	C++, 
5.	.NET
6.	MySQL
7.	ReactJS
8.	SQL
9.	AngularJS
10.	NodeJS
Any suitable combination of education, training and experience is acceptable.</t>
  </si>
  <si>
    <t>SANTA CLARA</t>
  </si>
  <si>
    <t>P-100-18347-306735</t>
  </si>
  <si>
    <t>Genetic Counseling</t>
  </si>
  <si>
    <t>Genetic Counselor/Fellow, or rel'd occ.</t>
  </si>
  <si>
    <t>No special requirements.
***********************************************
Requires a Master's degree in Genetic Counseling from an ACGC accredited program and two (2) years of experience, as well as a Pennsylvania Genetic Counselor license and certification by the American Board of Genetic Counseling (ABGC).
License/Certification Normal to Position - Please note that passing the examination for certification by the American Board of Genetic Counseling (ABGC) is required in order to obtain a Pennsylvania Genetic Counselor license, which is required to practice genetic counseling in the Commonwealth of Pennsylvania. Since both the certification and the license are a state requirement for ALL Genetic Counselors, these requirements are normal and reasonable for the position and should NOT increase the prevailing wage level. For more details, see https://www.pacode.com/secure/data/049/chapter18/s18.703.html.</t>
  </si>
  <si>
    <t>PHILADELPHIA</t>
  </si>
  <si>
    <t>P-100-19058-445357</t>
  </si>
  <si>
    <t>*See Section E.a.5: Job Duties*</t>
  </si>
  <si>
    <t>Candidate must also have academic or industry experience in seven (7) of the following skills: Oracle DBMS; PL/SQL, SQL*Plus, SQL Navigator or Toad; Develop requirements and architect scalable high-performing solutions; Software development life cycle implementation and management; Translate high-level business requirements to detailed technical specifications; Data and data manipulation techniques; Performance tuning of queries and report build processes to improve and end-user access response times; Validate accuracy of generated report to reliable source data, including variance to prior data; Database structures, relationships, data models and schemas; Business intelligence discipline and reporting tools.</t>
  </si>
  <si>
    <t>TRAVIS</t>
  </si>
  <si>
    <t>TX</t>
  </si>
  <si>
    <t>P-100-19064-347820</t>
  </si>
  <si>
    <t>Any occu in which req'd exp was gained.</t>
  </si>
  <si>
    <t>1 year of experience in manufacturing or working with machine.</t>
  </si>
  <si>
    <t>LEE</t>
  </si>
  <si>
    <t>P-100-19066-388378</t>
  </si>
  <si>
    <t>Leadership, Org Studies, Psych, or rel</t>
  </si>
  <si>
    <t>The individual best suited to fill this position would have the following qualities: (1) PhD in leadership, organizational studies, psychology, or related field by the time of appointment (Ed.D. considered); (2) research agendas and teaching interests in leadership and/or organizational studies including but not limited to research methods; and (3) demonstrated skills in or commitment to undergrad instruction and advising, scholarship and publication, and service to the university and community; (4) demonstrated commitment and/or experience promoting and fostering a learning environment that is supportive of individuals from diverse backgrounds.  Additional preferences include experience and/or interest in teaching online and administrative and/or leadership experience in the private, public, or non-profit sector. 
Review of applications will begin October 15, 2017 and continue until the position is filled.  A criminal background screening is required before a hiring is finalized.</t>
  </si>
  <si>
    <t>CAMPBELL</t>
  </si>
  <si>
    <t>KY</t>
  </si>
  <si>
    <t>P-100-19071-190355</t>
  </si>
  <si>
    <t>See E.b.5.</t>
  </si>
  <si>
    <t>Master's degree in Computer Science, Computer Applications, Computer or Software Engineering, Electrical or Electronic Engineering or any related IT or Engineering field of study, plus at least three (3) years of experience in the job offered or in any related position(s).  
In lieu of the above-stated education and experience requirements, the company will accept a Bachelor's degree in Computer Science, Computer Applications, Computer or Software Engineering, Electrical or Electronic Engineering or any related IT or Engineering field of study, plus at least five (5) years of post-degree, progressively responsible experience in any related position(s).  
Qualified candidates must also have demonstrable knowledge, skill, experience, and proficiency with the following:  
1.	Demonstrated understanding and knowledge of infrastructure operations and application development methodologies.  
2.	Two or more of the following DevOps technologies: Ansible, Urban Code, OpenStack, Docker and Kubernetes.  
3.	Two or more of the following frameworks: SpringBoot, .NET, IIS or WebSphere.  
4.	Cloud technologies such as PCF (Pivotal Cloud Foundry), Docker or Kubernetes.  
5.	Integration tools including Jenkins, Bamboo, BitBucket and GIT.  
6.	Monitoring tools such as Splunk, AppDynamics or Nagios.  
7.	Two or more of the following programming languages: Java, Groovy, Python, JavaScript, PowerShell or Bash.  
No travel. No telecommuting.</t>
  </si>
  <si>
    <t>P-100-19071-200479</t>
  </si>
  <si>
    <t>Architecture or related field</t>
  </si>
  <si>
    <t>Architectural Designer or related</t>
  </si>
  <si>
    <t>Will accept any level of experience in the following required skills: lead development of design concept alternatives, and presents to clients, project managers, and subconsultants; manage/coordinate design team staff as necessary to execute production work within establish man-hour budget to ensure profitability; lead technical coordination between architectural, structural, mechanical, electrical and life-safety engineers through construction documentation and construction administration phases; design and produce construction documents for full-scale mockups for on-site review with client and contractor for compliance with design intent and final approval.</t>
  </si>
  <si>
    <t>COOK</t>
  </si>
  <si>
    <t>P-100-19070-722066</t>
  </si>
  <si>
    <t>Associate's</t>
  </si>
  <si>
    <t>Nursing</t>
  </si>
  <si>
    <t>Registered Nurse (RN) license in the State of Texas.</t>
  </si>
  <si>
    <t>HIDALGO</t>
  </si>
  <si>
    <t>P-100-19078-640471</t>
  </si>
  <si>
    <t>2018 Northwest Technology Survey</t>
  </si>
  <si>
    <t>Fld of Cmp Sc, Engrg or Info Tech</t>
  </si>
  <si>
    <t>Tech Analyst, Prod Supp Analyst or rel*</t>
  </si>
  <si>
    <t>*The position of Technical Services Analyst II requires a Bachelor's degree in a field of Computer Science, Engineering or Information Technology, plus 5 years of end-user facing technical support experience which includes n-tier client-server or Web application support or development; SQL server support or development management; UI performance development or management using both front-end .NET (including ASP.NET) and back-end SQL server technologies; writing and tuning stored procedures and scripts using SQL/T-SQL; and creating or modifying business components using C#.</t>
  </si>
  <si>
    <t>KING</t>
  </si>
  <si>
    <t>WA</t>
  </si>
  <si>
    <t>P-200-19080-030346</t>
  </si>
  <si>
    <t>Economics</t>
  </si>
  <si>
    <t>MIDDLESEX (CAMBRIDGE)</t>
  </si>
  <si>
    <t>P-100-19081-467433</t>
  </si>
  <si>
    <t>Dietrich Fall 2018 Engineering Salary Survey</t>
  </si>
  <si>
    <t>***Please see box E.a.5***</t>
  </si>
  <si>
    <t>HARRIS</t>
  </si>
  <si>
    <t>P-200-19081-143433</t>
  </si>
  <si>
    <t>P-400-19081-011272</t>
  </si>
  <si>
    <t>A good foundation of customer service and a willingness to help</t>
  </si>
  <si>
    <t>KOOTENAI</t>
  </si>
  <si>
    <t>ID</t>
  </si>
  <si>
    <t>P-100-19082-580642</t>
  </si>
  <si>
    <t>CompSci, Eng or cls rel qnt discipline</t>
  </si>
  <si>
    <t>fld of software engnrng or prog analysis</t>
  </si>
  <si>
    <t>(1)	C++
(2)	Python
(3)	C
(4)	Linux
(5)	Java
(6)	Distributed Systems
(7)	Multithreaded programming
(8)	Fault tolerant systems
Skills may be gained through academic coursework or employment experience. Any suitable combination of education, training and experience is acceptable.</t>
  </si>
  <si>
    <t>SAN FRANCISCO</t>
  </si>
  <si>
    <t>P-100-19082-633076</t>
  </si>
  <si>
    <t>NCLEX PASSER OR POSSESSES AN ARIZONA RN LICENSE.
ELIGIBLE TO PRACTICE AS A REGISTERED NURSE.
COMPACT RN STATE LICENSE ACCEPTABLE.
POSSESSES A BACHELORS DEGREE AND 5 YEARS OF PROGRESSIVE EXPERIENCE AS A REGISTERED NURSE.</t>
  </si>
  <si>
    <t>APACHE</t>
  </si>
  <si>
    <t>AZ</t>
  </si>
  <si>
    <t>P-100-19085-824839</t>
  </si>
  <si>
    <t>Physical Therapy</t>
  </si>
  <si>
    <t>Physical Therapist</t>
  </si>
  <si>
    <t>Must be NPTE passer or have a NEW YORK PT license. Possesses a Bachelor's degree and 5 years of progressive experience as a Physical Therapist is accepted.</t>
  </si>
  <si>
    <t>NEW YORK</t>
  </si>
  <si>
    <t>P-100-20091-448031</t>
  </si>
  <si>
    <t>*Please see Box E.b.5</t>
  </si>
  <si>
    <t>*From boxes E.b.1b &amp; E.b.4b: MINIMUM REQUIREMENTS: MASTER'S DEGREE OR EQUIVALENT DEGREE IN COMPUTER SCIENCE, SYSTEMS ADMINISTRATION, COMPUTER NETWORKING, OR RELATED TECHNICAL FIELD PLUS 3 YEARS OF RELEVANT EXPERIENCE. ALTERNATIVELY, WILL ACCEPT A BACHELOR'S DEGREE OR EQUIVALENT DEGREE IN COMPUTER SCIENCE, SYSTEMS ADMINISTRATION, COMPUTER NETWORKING, OR RELATED TECHNICAL FIELD PLUS 5 YEARS OF RELEVANT EXPERIENCE.
MUST HAVE (CAN BE GAINED CONCURRENTLY): 3 YEARS OF EXPERIENCE IN A CUSTOMER FACING ENVIRONMENT; 3 YEARS OF EXPERIENCE WORKING WITH INTERNET TECHNOLOGIES, STANDARDS AND PROTOCOLS SUCH AS DNS, HTTP/HTTPS; UNDERSTANDING OF INTERNET ARCHITECTURE AND NETWORKING CONCEPTS; EXPERIENCE WITH WEB SECURITY AND IN-DEPTH KNOWLEDGE OF THE CYBERSECURITY SPACE; AND EXPERIENCE DEVELOPING AND ENHANCING STRONG CLIENT RELATIONSHIPS AND EXHIBITING STRONG ACCOUNT MANAGEMENT SKILLS. PLEASE NOTE THAT AKAMAI IS ONLY SEEKING THE STATED ABILITY UNLESS OTHERWISE QUANTIFIED.</t>
  </si>
  <si>
    <t>P-100-19032-341315</t>
  </si>
  <si>
    <t>Please see E.b.5</t>
  </si>
  <si>
    <t>Requires a Bachelor's of Science degree in Engineering Technology or foreign equivalent or in a related field plus three (3) years of field service experience with marine engine systems. Experience must also include:
Three (3) years of experience must involve (experience may be gained concurrently): Leading complex installation work; Understanding customer needs by leveraging knowledge of the market and environmental legislation for gas/hybrid applications in the marine market to create synergic cooperation between parties; Understanding financial/business impacts related to last minute technical changes/upgrades using business analytics; and Maximizing operational and budgetary efficiency.
Two (2) years of experience must involve (experience may be gained concurrently): Developing knowledge of UNIC for adjusting and tuning engines; and Working on gas application or complex multiproduct projects.
*Will accept a combination of education and experience as determined by a qualified evaluation service as equivalent to a Bachelor's degree.</t>
  </si>
  <si>
    <t>P-100-19094-762422</t>
  </si>
  <si>
    <t>See E.a.5</t>
  </si>
  <si>
    <t>n/a</t>
  </si>
  <si>
    <t>FAIRFAX</t>
  </si>
  <si>
    <t>VA</t>
  </si>
  <si>
    <t>P-100-19094-995366</t>
  </si>
  <si>
    <t>Computer Science, Engineering, or rltd</t>
  </si>
  <si>
    <t>Related occupations</t>
  </si>
  <si>
    <t>Requires a Bachelor's degree in Computer Science, Engineering, or a related field plus 7 years of experience. Requires 7 years of experience as a test engineer or developer. 3 years of experience with RESTful API implementations, agile practices, and feature estimations. 3 years of experience with web browser automation through web-driver based or similar tools. 4 years of experience with Unix. 3 years of experience with database concepts and data modeling. 3 years of experience with PostgreSQL, MySQL or NoSQL databases. 3 years of experience with TDD or BDD based frameworks like Lettuce, Selenium, or similar tools.</t>
  </si>
  <si>
    <t>DELAWARE</t>
  </si>
  <si>
    <t>P-100-19099-147414</t>
  </si>
  <si>
    <t>SAN MATEO</t>
  </si>
  <si>
    <t>P-100-19099-268171</t>
  </si>
  <si>
    <t>P-200-19095-838728</t>
  </si>
  <si>
    <t>NOT ENOUGH SPACE- see page 2, E. a. 5.</t>
  </si>
  <si>
    <t>Qualified applicants should possess fluency in Hebrew, be knowledgeable about contemporary Israeli society and culture.</t>
  </si>
  <si>
    <t>FRANKLIN</t>
  </si>
  <si>
    <t>High School/GED</t>
  </si>
  <si>
    <t>P-100-19112-789941</t>
  </si>
  <si>
    <t>12 months in the following: Business Objects/Business Information tools; Agile software tools; and Engineering Change Order Analysis.---------***CONTINUED FROM E.b.1b (MAJOR/FIELD OF STUDY REQUIRED): Industrial Engineering, Systems Engineering, Manufacturing Engineering or related.----------CONTINUED FROM E.b.4b (OCCUPATION REQUIRED): ITO Svc Delivery Cons I-b or related titles.***</t>
  </si>
  <si>
    <t>P-100-19108-546937</t>
  </si>
  <si>
    <t>CS, Management, Corporate Management</t>
  </si>
  <si>
    <t>P-100-19116-970896</t>
  </si>
  <si>
    <t>SW quality assurance/SW engineering/rel</t>
  </si>
  <si>
    <t>Experience with: QA project management; quality assurance testing for games; testing for mobile and web platforms; test case, test script, and manual and automated test plan design; use of industry best practices; establishing metrics and developing new tools and testing processes; object oriented development and testing software (JIRA); and management of offsite testers.</t>
  </si>
  <si>
    <t>P-100-19119-702644</t>
  </si>
  <si>
    <t>Environmental Engineering OR Mechanica</t>
  </si>
  <si>
    <t>Related Occupations of Environmental Sci</t>
  </si>
  <si>
    <t>Must have one course (or a publication) in each of the following areas:  (1) Control &amp; Design of MIMO (multiple input, multiple output) Systems, (2) Heat Transfer Theory &amp; Applications, and (3) Modeling the impact of solid noise barriers on near road air quality.
Required experience must have included 2 years experience in/with (1) High resolution fenceline &amp; fugitive emission measurements, and (2) Development and Deployment of Low Cost Sensor Platforms for Monitoring Multiple Air Pollutants.
Skills and experience may be evidenced by academic letter(s) of reference and/or employer testimonials, if requested.
Continuation Part E.b.1b.: Environmental Engineering OR Mechanical Engineering OR Related Field.  
Foreign degree equivalent is acceptable.
Continuation of Part E.b.1 to 4a:  
Must have a Bachelors plus 5 years post baccalaureate progressive experience OR Masters plus 3 years experience.  Will accept any suitable combination of education, training and experience not less than a Bachelors plus 5 years post baccalaureate progressive experience or Masters plus 3 years. 
Continuation Part E.b.4b.: Related Occupation of Environmental Scientist or Environmental Engineer or Contractor.</t>
  </si>
  <si>
    <t>DURHAM</t>
  </si>
  <si>
    <t>NC</t>
  </si>
  <si>
    <t>P-100-19120-001647</t>
  </si>
  <si>
    <t>CSci.,Engg,Math., Info.Sys.,Phys.,rel.</t>
  </si>
  <si>
    <t>Any Computer related occupation</t>
  </si>
  <si>
    <t>Education/ Experience in Managing software or business processes for operations, systems, projects, tools or policies, Coordinating program development of computer software applications / systems / services from design through product release, Reporting,  Mixed Client/Service Environment, Data Warehousing, Web Services, Collaboration, Designing and architecting solutions, SharePoint Server, SharePoint Online, Microsoft 365 and Document Management.</t>
  </si>
  <si>
    <t>P-100-19120-070658</t>
  </si>
  <si>
    <t>CSci.,Engg,Math.,Info. Sys,,Phys., rel</t>
  </si>
  <si>
    <t>Any comp related occupation</t>
  </si>
  <si>
    <t>Education or experience in: Coordinating program development of computer software/applications/systems/services from design through product release; designing user experience of computer software; authoring computer software applications/systems/services specifications; Visual Studio; C++; C#; and Win32.</t>
  </si>
  <si>
    <t>P-100-19120-352762</t>
  </si>
  <si>
    <t>Any computer-related occupation</t>
  </si>
  <si>
    <t>Education or experience in SCOPE; SQL and/or T-SQL; Data Warehousing; Reporting; Managing software or business processes for operations, systems, projects, tools or policies; Coordinating program development of computer software applications/systems/services from design through product release; and ETL.</t>
  </si>
  <si>
    <t>P-100-19119-886510</t>
  </si>
  <si>
    <t>Mechanical Engineering or related</t>
  </si>
  <si>
    <t>Mechanical Process Engineer</t>
  </si>
  <si>
    <t>Prior academic background or work experience to include: Winstudio, CATIA, MiniTab, Tableau, SolidWorks, MATLAB, MSSQL Server, Management Studio, Visual Studio, SSRS, SSAS(MDX), AutoCAD, JavaScript and C# programming languages.</t>
  </si>
  <si>
    <t>P-100-19127-832997</t>
  </si>
  <si>
    <t>Comp Sci, Business (any),...see e.b.5</t>
  </si>
  <si>
    <t>Sr Enterprise Agile Transformation Coach</t>
  </si>
  <si>
    <t>Bachelor's degree or foreign equivalent degree in Computer Science, Business (any) or a related field. Six years of progressively responsible experience in providing software design and development services for a global company. 
Must have six years of experience in: designing and implementing change management strategic solutions for SDLC improvement utilizing Agile, Lean Six Sigma and operational excellence tools; leading Agile transformation project activities utilizing scrum, scaled agile framework, and value stream mapping; managing project engagement for quality delivery and process governance using failure modes and effects analysis, Kanban, customized governance models, gap analysis, and process re-engineering; delivering Agile project trainings for product owners, scrum teams and executive leadership based on Agile mindset, frameworks, scrum lifecycle, scrum ceremonies and roles, estimations and enterprise agility; and providing mentoring and coaching to teams and leadership to Lean Agile culture.</t>
  </si>
  <si>
    <t>MERCER</t>
  </si>
  <si>
    <t>NJ</t>
  </si>
  <si>
    <t>P-100-19133-905725</t>
  </si>
  <si>
    <t>Please see section E.a.5.</t>
  </si>
  <si>
    <t>job offered or related occupation</t>
  </si>
  <si>
    <t>P-200-18330-005414</t>
  </si>
  <si>
    <t>Radiation?</t>
  </si>
  <si>
    <t>??</t>
  </si>
  <si>
    <t>CERRO GORDO</t>
  </si>
  <si>
    <t>IA</t>
  </si>
  <si>
    <t>P-100-19136-202066</t>
  </si>
  <si>
    <t>Mechanical Engineering</t>
  </si>
  <si>
    <t>Mechanical engineering design and / or analysis experience utilizing SMT MASTA,FEA software or MATLAB/Simulink 
Demonstrated design analysis capability</t>
  </si>
  <si>
    <t>OAKLAND</t>
  </si>
  <si>
    <t>MI</t>
  </si>
  <si>
    <t>P-400-19136-474937</t>
  </si>
  <si>
    <t>Must be able to lift/carry/push/pull objects up to 100lbs.</t>
  </si>
  <si>
    <t>TREMPEALEAU</t>
  </si>
  <si>
    <t>WI</t>
  </si>
  <si>
    <t>P-100-19141-425417</t>
  </si>
  <si>
    <t>Texas Physical Therapist Licensure or Eligibility</t>
  </si>
  <si>
    <t>DALLAS</t>
  </si>
  <si>
    <t>P-100-19143-665547</t>
  </si>
  <si>
    <t>NRP (Neonatal Resuscitation Program), Fetal Monitoring, ACLS (Advanced Cardiac Life Support) certifications, and Registered Nurse (RN) license in the State of Texas.</t>
  </si>
  <si>
    <t>P-100-19154-795410</t>
  </si>
  <si>
    <t>*Please see #5</t>
  </si>
  <si>
    <t>**Please see #5</t>
  </si>
  <si>
    <t>Experience must include work with .Net, C#, MVC, Razor, jQuery and KendoUI; must be willing to relocate (job location: various unanticipated locations throughout the U.S.). 
*From E.b.1b: Computer Science, Computer Engineering, Information Technology or in a related field of study (will accept equivalent foreign degree). 
**From E.b.4b: Software Developer, Systems Analyst, Programmer or in a related occupation.</t>
  </si>
  <si>
    <t>P-100-19156-173771</t>
  </si>
  <si>
    <t>Bus Admin, Bus Analytics, or related</t>
  </si>
  <si>
    <t>in SQL querying &amp; data analytics</t>
  </si>
  <si>
    <t>Master's degree in business administration, business analytics, or related field, plus 3 years of experience in SQL querying and Data Analytics, and demonstrated experience in: Tableau reporting; Teradata, MySQL and Oracle; Flat files, Excel, and unstructured data sources; RDBMS programming, SQL, Stored Procedures, and scripts; Microsoft excel, Solver, Pivots, Power Pivots, Pivot charts, Power Query and VBA &amp; Macros; Statistics and using statistical packages for analyzing datasets; Statistical analysis using regression, moving averages and standard deviation; Microsoft Access and SAS; Data mining from large sets of unstructured data and implementing workflow for automation using advanced tools including KNIME.</t>
  </si>
  <si>
    <t>P-100-19156-229653</t>
  </si>
  <si>
    <t>[See section E.a.5.]</t>
  </si>
  <si>
    <t>[See section E.a.5]</t>
  </si>
  <si>
    <t>Experience also must include: At least two years of experience using grids and typography to do visual design; At least two years of experience writing UI micro-copy; At least one year of experience conducting user studies to influence design decisions; and Experience taking a digital product feature from definition to interactions to visuals in an agile environment.</t>
  </si>
  <si>
    <t>Level III</t>
  </si>
  <si>
    <t>P-100-19156-890649</t>
  </si>
  <si>
    <t>TARRANT</t>
  </si>
  <si>
    <t>P-100-19156-669504</t>
  </si>
  <si>
    <t>Civil Engineering</t>
  </si>
  <si>
    <t>Please see E.a.5.</t>
  </si>
  <si>
    <t>IN</t>
  </si>
  <si>
    <t>P-200-18248-959581</t>
  </si>
  <si>
    <t>Finance</t>
  </si>
  <si>
    <t>Teaching interest in the area of corporate finance and financial markets and institutions.</t>
  </si>
  <si>
    <t>MIAMI-DADE</t>
  </si>
  <si>
    <t>P-100-18277-275272</t>
  </si>
  <si>
    <t>BROOMFIELD</t>
  </si>
  <si>
    <t>P-100-18278-763900</t>
  </si>
  <si>
    <t>Food Science and Technology</t>
  </si>
  <si>
    <t>Food Scientist</t>
  </si>
  <si>
    <t>ALAMEDA</t>
  </si>
  <si>
    <t>P-100-18179-115033</t>
  </si>
  <si>
    <t>Mechanical Eng. or Mechatronic Eng.</t>
  </si>
  <si>
    <t>Experience in the development of complex high tech systems required,and experience in mechatronics, mechanics, electronics, software or physics required.</t>
  </si>
  <si>
    <t>FAIRFIELD (WILTON)</t>
  </si>
  <si>
    <t>CT</t>
  </si>
  <si>
    <t>P-100-18290-956123</t>
  </si>
  <si>
    <t>The employer will accept:
Either an MD (Medical Doctor Degree in medicine); OR the Foreign Equivalent to an MD (Medical Doctor Degree in
medicine). 
Position requires a Florida Board of Medicine Unrestricted Medical Doctor License to practice medicine in the
State of Florida.</t>
  </si>
  <si>
    <t>BROWARD</t>
  </si>
  <si>
    <t>P-100-18291-061828</t>
  </si>
  <si>
    <t>US MBD Mercer Benchmark Database Information Technology Survey</t>
  </si>
  <si>
    <t>SEE SECTION E.a.5</t>
  </si>
  <si>
    <t>Skill in one or more programming languages including JAVA, Angular JS, and HTML 5.0; complex systems experience on IBM operating systems or microprocessors required; experience in the technical design and development of major data processing projects; IMS experience; systems development experience to include distributed systems is required; experience in client/server technology, object oriented (OO) development or case tools; experience in the technical design and development of major client/server projects; and experience with software and engineering principles.</t>
  </si>
  <si>
    <t>EL PASO</t>
  </si>
  <si>
    <t>P-100-18296-910684</t>
  </si>
  <si>
    <t>Virology, Genetics, Biology, or*</t>
  </si>
  <si>
    <t>exp. conducting research in biotech or**</t>
  </si>
  <si>
    <t>*Cont'd from Eb.1b. or a directly related field.
**Cont'd from Eb.4b. pharmaceutical company.
Must have 2 years of experience in each of the following (experience may be gained concurrently):
- Cell-biology techniques (primary cell culture, recombinant DNA delivery through transfection and stable cell line generation)
- Cloning recombinant DNA into bacterial plasmid through multiple different methods
- Designing oligonucleotide primers to confirm the sequence of cloned products
- Maintaining cell cultures and deliver recombinant plasmids and RNA to cells with different transfection reagents
- Cell-base assay development to screen CRISPR guide RNAs
Must have 1 year of experience in each of the following (experience may be gained concurrently):
- Hands-on experience in molecular cloning, specifically the ability to clone recombinant plasmid DNA and verify the complete DNA sequence independently
- Design and generate recombinant adeno-associated virus genomes
Experience may be gained before, during, or after issuance of advanced degree.</t>
  </si>
  <si>
    <t>P-100-18298-515388</t>
  </si>
  <si>
    <t>See E.b.5</t>
  </si>
  <si>
    <t>see E.b.5</t>
  </si>
  <si>
    <t>Must have Bachelor's degree or foreign equivalent in Computer Science, Data Engineering, Business Analytics, Computer Systems, Information Systems, or a closely related field.  
AND 
Two years of experience in
1) working within a healthcare data-related industry setting, 
2) writing and maintaining Base SAS scripts (or scripts in a similar programming language), and
3) using data ETL processes, whether market-available enterprise solutions like Informatica and ESP Workstation or custom-built solutions.</t>
  </si>
  <si>
    <t>MIDDLESEX (BURLINGTON)</t>
  </si>
  <si>
    <t>P-100-18299-706828</t>
  </si>
  <si>
    <t>3 years of post-secondary education</t>
  </si>
  <si>
    <t>In any field</t>
  </si>
  <si>
    <t>Computer Programmer, or related</t>
  </si>
  <si>
    <t>Requires 3 years of post-secondary education in any field and 3 years of experience.</t>
  </si>
  <si>
    <t>P-100-18276-773399</t>
  </si>
  <si>
    <t>="The Korean Studies Instructional Coordinator performs occasional community outreach/lectures, conferences, and meetings with counterparts at other Korean studies centers/programs, which requires very minimal and largely domestic travel (&amp;lt;5%). Such duties (&amp;quot;collaborate with other institutions&amp;quot; and &amp;quot;promote educational institutions or programs&amp;quot;) and associated minimal travel are normal to the occupation, and should NOT increase the prevailing wage level."</t>
  </si>
  <si>
    <t>See section E.b.5</t>
  </si>
  <si>
    <t>Fluency in Korean and English. Background checks required.
***********************************************
***Major and/or fields of study required in Section E.b.1b: Master's degree in East Asian Studies or a related field.***
*** Occupation required in Section E.b.4b: Program Coordinator, Adjunct Faculty, Lecturer or a related occupation. ***
*** Korean fluency is required for the position of Korean Studies Instructional Coordinator, but that requirement does not sufficiently increase the seniority and complexity of the position such that a point must be added for the foreign language requirement. The Korean Studies Instructional Coordinator, an employee of our University's James Joo-Jin Kim Program in Korean Studies, is required to &amp;quot;present Korea-related lectures... in both Korean and English&amp;quot; as well as &amp;quot;provide academic support for visiting affiliates from Korea&amp;quot; and &amp;quot;prepare grant proposals in Korean and English&amp;quot;, all tasks normal to the occupation, and for which foreign language fluency is normal to the context of the position. Therefore, Korean fluency is a normal and reasonable requirement for the position, and should NOT increase the prevailing wage level.  
*** Request for Wage Level 2 - the position requires:
 - 1 point = mandatory point
 - 0 points = 0 years of experience (4 to 10 years are normal for a Job Zone 5)
 - 0 points = Master's degree (normal for the Instructional Coordinator occupational code)
 - 1 point = Korean fluency does not increase the complexity of the position, and travel is less than 5%
 - 0 points = no supervisory duties
Therefore, we request that the prevailing wage be a wage level 2.</t>
  </si>
  <si>
    <t>P-100-18309-321633</t>
  </si>
  <si>
    <t>Computer science</t>
  </si>
  <si>
    <t>Software Engineer or related position</t>
  </si>
  <si>
    <t>P-200-18317-235182</t>
  </si>
  <si>
    <t>*see 5 below</t>
  </si>
  <si>
    <t>Degree in Linguistics, Second Language Studies, Kurmani Kurdish language, or a related field.
Proficiency in Kurmanji Kurdish required</t>
  </si>
  <si>
    <t>P-100-18316-901197</t>
  </si>
  <si>
    <t>Comp Sci, Eng, Design, or rel</t>
  </si>
  <si>
    <t>Bachelor's degree in Computer Science, Engineering, Design or a related field plus 3 years of experience; 3 years of experience in User Interface and User Experience design. Any level of experience with: Gathering feedback from users on user interfaces; and Prototyping and user testing tools like Framer, Pixate, Webflow, InVision or Lookback. Any level of knowledge with: Multidisciplinary UI and UX skills; Adobe CC, Sketch, and other wireframing tools; HTML, CSS and Javascript development.</t>
  </si>
  <si>
    <t>P-100-18320-700660</t>
  </si>
  <si>
    <t>Doctor of Medicine</t>
  </si>
  <si>
    <t>Medical and surgery license issued by the State of New Jersey.</t>
  </si>
  <si>
    <t>CUMBERLAND</t>
  </si>
  <si>
    <t>P-100-18312-816391</t>
  </si>
  <si>
    <t>Bachelor's degree or foreign equivalent degree in Computer Science, Information Technology, Engineering (any), CIS, MIS or a related field. Two years of experience in the offered position or a related occupation. Must have two years of experience with: Performing assessments of current systems architecture and identifying gaps between business requirements and current system capabilities, including identifying bottlenecks in the datalake, data warehouses, and data swarms architecture; Utilizing Extract, Transform, Load (ETL) Tools and Programming languages including Python, Pig, Hive, Presto, and Spark to design and architect complex data pipelines for data extraction, ingestion, munging, wrangling, and processing on Cloud platforms including Amazon Web Services (AWS), Microsoft Azure, and Google Cloud Platform; Designing data models on traditional and big data platforms and working with different storage and data compression techniques including AVRO, Optimized Row Columnar (ORC), Parque, and Record Columnar (RC) for faster read/write latency; Working with version control tools including Git, Mercurial, Bitbucket for source code management, and Agile methodology in order to manage Software Development projects; Designing Data warehouses and schemas, and working on ETL tools including Informatica, Microsoft SQL Server Integration Services (SSIS), and Talend for Big Data to allow business stakeholders to analyze data over specific periods of time. 80% travel required. 80% travel required to various unanticipated Deloitte office locations and client sites nationally.</t>
  </si>
  <si>
    <t>P-100-18317-646117</t>
  </si>
  <si>
    <t>development of manual and motorized</t>
  </si>
  <si>
    <t>average technician in electricity</t>
  </si>
  <si>
    <t>manufacturing of blinds</t>
  </si>
  <si>
    <t>know how to measure and use various tools.
know how to measure and cut fabric
concentration
ability to use the cutter saw.</t>
  </si>
  <si>
    <t>P-100-18338-664702</t>
  </si>
  <si>
    <t>CS, Info. Mgt Sys., Info Tech, or rel.</t>
  </si>
  <si>
    <t>Quality Assurance testing</t>
  </si>
  <si>
    <t>Any level of demonstrated knowledge of:
1.	Katalon
2.	Selenium WebDriver
3.	Building automation test cases/scenarios.</t>
  </si>
  <si>
    <t>NORFOLK (QUINCY)</t>
  </si>
  <si>
    <t>P-100-18345-438356</t>
  </si>
  <si>
    <t>P-200-18347-577734</t>
  </si>
  <si>
    <t>HAMILTON</t>
  </si>
  <si>
    <t>TN</t>
  </si>
  <si>
    <t>P-200-18347-708602</t>
  </si>
  <si>
    <t>SHELBY</t>
  </si>
  <si>
    <t>P-100-18348-931890</t>
  </si>
  <si>
    <t>Critical Care</t>
  </si>
  <si>
    <t>Bachelor's Degree in Nursing, New York State Registered Nurse License or CGFNS or NCLEX-RN</t>
  </si>
  <si>
    <t>KINGS</t>
  </si>
  <si>
    <t>P-100-18351-091035</t>
  </si>
  <si>
    <t>Computer Science or a directly related</t>
  </si>
  <si>
    <t>any closely related occupation</t>
  </si>
  <si>
    <t>Bachelor's degree in Computer Science or a directly related field and 5 years of progressive, post-baccalaureate related work experience. 
Of the required five years of experience, must include experience in:
- Java application design software development and testing;
- HTML 5, CSS3, JavaScript, XML, Swing, JSON, AJAX, DOM, JSP, and MVC technologies;
- Source Code Management;
- Application Performance Monitoring and Tuning;
- Scheduling Packages such as Quartz Scheduler, ESP or similar;
- Service Management such as JIRA, Service Now or similar;
- Messaging: MQ Series, JMS, Apache Camel, or similar; 
- Development Environment: IBM RAD, Eclipse, IntelliJ, or similar; 
- Reporting: Jasper, Crystal Reports, Cognos, or similar; 
- Test from unit to behavioral/functional to integration (e.g. JUnit)
- Build tools: ANT, Jenkins, Maven, Bamboo, or similar; 
- System design in a service oriented architecture; 
- Databases: Oracle or DB2; 
- Web frameworks and interactive web development; and
- Responsive web design. 
Telecommuting Permitted.</t>
  </si>
  <si>
    <t>DAVIDSON</t>
  </si>
  <si>
    <t>P-100-18353-636748</t>
  </si>
  <si>
    <t>Prior work experience must include six (6) years working in validation. Prior work experience must include the following: Performing validation activities associated with process and cleaning validation in the pharmaceutical industry in a Current Good Manufacturing Practice (CGMP) environment; Understanding and implementing US and EU regulatory requirements for quality and compliance; Direct experience managing teams in a dynamic environment; Multidisciplinary project management and business administration; and Reading and interpreting Piping and Instrumentation Diagrams (P&amp;ID), equipment schematics, sequence of operations, design specifications, functional specifications, process development and characterization of documents.
***Continued from E.b.1b: : Masters (U.S. or foreign equivalent) in Scientific discipline such as Chemical Engineering, Biotechnology, Biochemical Engineering, Biomedical Engineering, Biology, Chemistry or Biochemistry. OR Bachelors (U.S. or foreign equivalent) in Scientific discipline such as Chemical Engineering, Biotechnology, Biochemical Engineering, Biomedical Engineering, Biology, Chemistry or Biochemistry.   
***Continued from E.b.4b: Eight (8) years of experience (with Masters) in the pharmacutical industry. OR Ten (10) years of experience (with Bachelors) in the pharmacutical industry.</t>
  </si>
  <si>
    <t>P-200-18354-130603</t>
  </si>
  <si>
    <t>ESOL/LINGUISTICS</t>
  </si>
  <si>
    <t>Teacher, ESOL</t>
  </si>
  <si>
    <t>Ability to teach a second language. Valid North Carolina Teacher Certification in appropriate area with ESOL endorsement. Valid North Carolina certification in ESOL, Spanish &amp; English preferred. Must meet the No Child Left Behind Act regulations and requirements. Bilingual, preferably Spanish &amp; English. Knowledge of strategies for ESOL program. Knowledge of the culture of students. Knowledge of learning styles. Ability to use varied teaching methods. Basic understanding and knowledge of current technology. Knowledge of the culture of students.</t>
  </si>
  <si>
    <t>FORSYTH</t>
  </si>
  <si>
    <t>P-200-18355-291138</t>
  </si>
  <si>
    <t>Anesthesia residency</t>
  </si>
  <si>
    <t>E.b.1a May be foreign equivalent</t>
  </si>
  <si>
    <t>P-100-18361-196557</t>
  </si>
  <si>
    <t>Econ/Fin/Math/Comp Sc/ Comp Fin/cl rtd</t>
  </si>
  <si>
    <t>model risk management validation exp</t>
  </si>
  <si>
    <t>Master's degree in Economics, Finance, Mathematics, Computer Science, Computational Finance, or closely related and 1 year experience in model risk management validation; or Bachelor's degree in same fields and 5 years of progressive, post-baccalaureate experience plus 1 year experience in model risk management validation; or any suitable combination of education, training, or experience. 
Requires 1 year experience in credit risk modeling; stress testing regulations and requirements; portfolio Asset Liability Management (ALM); anti-money laundering and Bank Secrecy Act laws and regulations; and Supervisory Guidance on Model Risk Management.</t>
  </si>
  <si>
    <t>P-100-18351-484890</t>
  </si>
  <si>
    <t>Computer Science, Engineering, related</t>
  </si>
  <si>
    <t>SW Dev, Programmer Analyst, related</t>
  </si>
  <si>
    <t>Bachelor's degree in Computer Science, Engineering, or a related technical field plus 10 years of experience. Must have 5 years large data manipulation and data mining using SQL; 4 years with Tableau and PowerBI; 3 years analytics experience with quantitative orientation; 2 years with data science tool Python or R and Omniture/Adobe Analytics including tagging conventions and analytics tool (SiteCatalyst, ReportBuilder, or Analysis Workspace).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</si>
</sst>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000"/>
    <numFmt numFmtId="165" formatCode="[&lt;=9999999]###\-####;\(###\)\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applyAlignment="1">
      <alignment wrapText="1"/>
    </xf>
    <xf numFmtId="8" fontId="0" fillId="0" borderId="0" xfId="0" applyNumberFormat="1"/>
    <xf numFmtId="0" fontId="16" fillId="0" borderId="0" xfId="0" applyFont="1"/>
    <xf numFmtId="14" fontId="16" fillId="0" borderId="0" xfId="0" applyNumberFormat="1" applyFont="1"/>
    <xf numFmtId="164" fontId="16" fillId="0" borderId="0" xfId="0" applyNumberFormat="1" applyFont="1"/>
    <xf numFmtId="164" fontId="0" fillId="0" borderId="0" xfId="0" applyNumberFormat="1"/>
    <xf numFmtId="165" fontId="16" fillId="0" borderId="0" xfId="0" applyNumberFormat="1" applyFon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0BE9-5F7F-4BEE-A2B5-6459F339D7AF}">
  <dimension ref="A1:CA86"/>
  <sheetViews>
    <sheetView tabSelected="1" workbookViewId="0">
      <pane ySplit="1" topLeftCell="A2" activePane="bottomLeft" state="frozen"/>
      <selection pane="bottomLeft" sqref="A1:XFD1048576"/>
    </sheetView>
  </sheetViews>
  <sheetFormatPr defaultRowHeight="15" customHeight="1" x14ac:dyDescent="0.25"/>
  <cols>
    <col min="1" max="1" width="18.5703125" bestFit="1" customWidth="1"/>
    <col min="2" max="2" width="16.42578125" bestFit="1" customWidth="1"/>
    <col min="3" max="3" width="18.28515625" style="1" bestFit="1" customWidth="1"/>
    <col min="4" max="4" width="24.42578125" style="1" bestFit="1" customWidth="1"/>
    <col min="5" max="5" width="26.85546875" style="1" bestFit="1" customWidth="1"/>
    <col min="6" max="6" width="35.42578125" style="1" bestFit="1" customWidth="1"/>
    <col min="7" max="7" width="21.85546875" style="1" bestFit="1" customWidth="1"/>
    <col min="8" max="8" width="14" bestFit="1" customWidth="1"/>
    <col min="9" max="9" width="31.140625" bestFit="1" customWidth="1"/>
    <col min="10" max="10" width="32" bestFit="1" customWidth="1"/>
    <col min="11" max="11" width="34.140625" bestFit="1" customWidth="1"/>
    <col min="12" max="12" width="47.28515625" bestFit="1" customWidth="1"/>
    <col min="13" max="13" width="48" bestFit="1" customWidth="1"/>
    <col min="14" max="14" width="40.5703125" bestFit="1" customWidth="1"/>
    <col min="15" max="15" width="24.7109375" bestFit="1" customWidth="1"/>
    <col min="16" max="16" width="26" bestFit="1" customWidth="1"/>
    <col min="17" max="17" width="34" style="7" bestFit="1" customWidth="1"/>
    <col min="18" max="18" width="29.7109375" bestFit="1" customWidth="1"/>
    <col min="19" max="19" width="30.28515625" bestFit="1" customWidth="1"/>
    <col min="20" max="20" width="27.140625" style="7" bestFit="1" customWidth="1"/>
    <col min="21" max="21" width="31.42578125" bestFit="1" customWidth="1"/>
    <col min="22" max="22" width="32.85546875" style="9" bestFit="1" customWidth="1"/>
    <col min="23" max="23" width="41" bestFit="1" customWidth="1"/>
    <col min="24" max="24" width="61.7109375" bestFit="1" customWidth="1"/>
    <col min="25" max="25" width="53.140625" bestFit="1" customWidth="1"/>
    <col min="26" max="26" width="48" bestFit="1" customWidth="1"/>
    <col min="27" max="27" width="39" bestFit="1" customWidth="1"/>
    <col min="28" max="28" width="18.28515625" bestFit="1" customWidth="1"/>
    <col min="29" max="29" width="19.7109375" bestFit="1" customWidth="1"/>
    <col min="30" max="30" width="27.5703125" style="7" bestFit="1" customWidth="1"/>
    <col min="31" max="31" width="25.7109375" bestFit="1" customWidth="1"/>
    <col min="32" max="32" width="24" bestFit="1" customWidth="1"/>
    <col min="33" max="33" width="20.85546875" style="9" bestFit="1" customWidth="1"/>
    <col min="34" max="34" width="24.85546875" bestFit="1" customWidth="1"/>
    <col min="35" max="35" width="18.28515625" bestFit="1" customWidth="1"/>
    <col min="36" max="36" width="15.42578125" bestFit="1" customWidth="1"/>
    <col min="37" max="37" width="22.7109375" bestFit="1" customWidth="1"/>
    <col min="38" max="38" width="7" bestFit="1" customWidth="1"/>
    <col min="39" max="39" width="11.5703125" bestFit="1" customWidth="1"/>
    <col min="40" max="40" width="10.42578125" bestFit="1" customWidth="1"/>
    <col min="41" max="41" width="65.28515625" bestFit="1" customWidth="1"/>
    <col min="42" max="42" width="29.5703125" bestFit="1" customWidth="1"/>
    <col min="43" max="43" width="54.5703125" bestFit="1" customWidth="1"/>
    <col min="44" max="44" width="26" bestFit="1" customWidth="1"/>
    <col min="45" max="45" width="69" bestFit="1" customWidth="1"/>
    <col min="46" max="46" width="50.7109375" bestFit="1" customWidth="1"/>
    <col min="47" max="47" width="25.5703125" bestFit="1" customWidth="1"/>
    <col min="48" max="48" width="25.42578125" bestFit="1" customWidth="1"/>
    <col min="49" max="49" width="22.140625" bestFit="1" customWidth="1"/>
    <col min="50" max="50" width="20.7109375" bestFit="1" customWidth="1"/>
    <col min="51" max="51" width="255.7109375" bestFit="1" customWidth="1"/>
    <col min="52" max="52" width="30" bestFit="1" customWidth="1"/>
    <col min="53" max="53" width="35.7109375" bestFit="1" customWidth="1"/>
    <col min="54" max="54" width="38.5703125" bestFit="1" customWidth="1"/>
    <col min="55" max="55" width="20.7109375" bestFit="1" customWidth="1"/>
    <col min="56" max="56" width="28" bestFit="1" customWidth="1"/>
    <col min="57" max="57" width="22.85546875" bestFit="1" customWidth="1"/>
    <col min="58" max="58" width="33.7109375" bestFit="1" customWidth="1"/>
    <col min="59" max="59" width="36.7109375" bestFit="1" customWidth="1"/>
    <col min="60" max="60" width="30.5703125" bestFit="1" customWidth="1"/>
    <col min="61" max="61" width="29" bestFit="1" customWidth="1"/>
    <col min="62" max="62" width="49.28515625" bestFit="1" customWidth="1"/>
    <col min="63" max="63" width="255.7109375" bestFit="1" customWidth="1"/>
    <col min="64" max="64" width="45.42578125" bestFit="1" customWidth="1"/>
    <col min="65" max="65" width="34" bestFit="1" customWidth="1"/>
    <col min="66" max="66" width="27.28515625" bestFit="1" customWidth="1"/>
    <col min="67" max="67" width="31" bestFit="1" customWidth="1"/>
    <col min="68" max="68" width="28.7109375" bestFit="1" customWidth="1"/>
    <col min="69" max="69" width="36.7109375" style="7" bestFit="1" customWidth="1"/>
    <col min="70" max="70" width="30.85546875" bestFit="1" customWidth="1"/>
    <col min="71" max="71" width="19" bestFit="1" customWidth="1"/>
    <col min="72" max="72" width="49.5703125" bestFit="1" customWidth="1"/>
    <col min="73" max="73" width="19.85546875" bestFit="1" customWidth="1"/>
    <col min="74" max="74" width="25.42578125" bestFit="1" customWidth="1"/>
    <col min="75" max="75" width="20.7109375" bestFit="1" customWidth="1"/>
    <col min="76" max="76" width="23" bestFit="1" customWidth="1"/>
    <col min="77" max="77" width="22.140625" bestFit="1" customWidth="1"/>
    <col min="78" max="78" width="20.5703125" bestFit="1" customWidth="1"/>
    <col min="79" max="79" width="32.140625" bestFit="1" customWidth="1"/>
  </cols>
  <sheetData>
    <row r="1" spans="1:79" s="4" customFormat="1" ht="15" customHeight="1" x14ac:dyDescent="0.25">
      <c r="A1" s="4" t="s">
        <v>0</v>
      </c>
      <c r="B1" s="4" t="s">
        <v>1</v>
      </c>
      <c r="C1" s="5" t="s">
        <v>2</v>
      </c>
      <c r="D1" s="5" t="s">
        <v>3</v>
      </c>
      <c r="E1" s="5" t="s">
        <v>4</v>
      </c>
      <c r="F1" s="5" t="s">
        <v>5</v>
      </c>
      <c r="G1" s="5" t="s">
        <v>6</v>
      </c>
      <c r="H1" s="4" t="s">
        <v>7</v>
      </c>
      <c r="I1" s="4" t="s">
        <v>8</v>
      </c>
      <c r="J1" s="4" t="s">
        <v>9</v>
      </c>
      <c r="K1" s="4" t="s">
        <v>10</v>
      </c>
      <c r="L1" s="4" t="s">
        <v>11</v>
      </c>
      <c r="M1" s="4" t="s">
        <v>12</v>
      </c>
      <c r="N1" s="4" t="s">
        <v>13</v>
      </c>
      <c r="O1" s="4" t="s">
        <v>14</v>
      </c>
      <c r="P1" s="4" t="s">
        <v>15</v>
      </c>
      <c r="Q1" s="6" t="s">
        <v>16</v>
      </c>
      <c r="R1" s="4" t="s">
        <v>17</v>
      </c>
      <c r="S1" s="4" t="s">
        <v>18</v>
      </c>
      <c r="T1" s="6" t="s">
        <v>19</v>
      </c>
      <c r="U1" s="4" t="s">
        <v>20</v>
      </c>
      <c r="V1" s="8" t="s">
        <v>21</v>
      </c>
      <c r="W1" s="4" t="s">
        <v>22</v>
      </c>
      <c r="X1" s="4" t="s">
        <v>23</v>
      </c>
      <c r="Y1" s="4" t="s">
        <v>24</v>
      </c>
      <c r="Z1" s="4" t="s">
        <v>25</v>
      </c>
      <c r="AA1" s="4" t="s">
        <v>26</v>
      </c>
      <c r="AB1" s="4" t="s">
        <v>27</v>
      </c>
      <c r="AC1" s="4" t="s">
        <v>28</v>
      </c>
      <c r="AD1" s="6" t="s">
        <v>29</v>
      </c>
      <c r="AE1" s="4" t="s">
        <v>30</v>
      </c>
      <c r="AF1" s="4" t="s">
        <v>31</v>
      </c>
      <c r="AG1" s="8"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4" t="s">
        <v>59</v>
      </c>
      <c r="BI1" s="4" t="s">
        <v>60</v>
      </c>
      <c r="BJ1" s="4" t="s">
        <v>61</v>
      </c>
      <c r="BK1" s="4" t="s">
        <v>62</v>
      </c>
      <c r="BL1" s="4" t="s">
        <v>63</v>
      </c>
      <c r="BM1" s="4" t="s">
        <v>64</v>
      </c>
      <c r="BN1" s="4" t="s">
        <v>65</v>
      </c>
      <c r="BO1" s="4" t="s">
        <v>66</v>
      </c>
      <c r="BP1" s="4" t="s">
        <v>67</v>
      </c>
      <c r="BQ1" s="6" t="s">
        <v>68</v>
      </c>
      <c r="BR1" s="4" t="s">
        <v>69</v>
      </c>
      <c r="BS1" s="4" t="s">
        <v>70</v>
      </c>
      <c r="BT1" s="4" t="s">
        <v>71</v>
      </c>
      <c r="BU1" s="4" t="s">
        <v>72</v>
      </c>
      <c r="BV1" s="4" t="s">
        <v>73</v>
      </c>
      <c r="BW1" s="4" t="s">
        <v>74</v>
      </c>
      <c r="BX1" s="4" t="s">
        <v>75</v>
      </c>
      <c r="BY1" s="4" t="s">
        <v>76</v>
      </c>
      <c r="BZ1" s="4" t="s">
        <v>77</v>
      </c>
      <c r="CA1" s="4" t="s">
        <v>78</v>
      </c>
    </row>
    <row r="2" spans="1:79" ht="15" customHeight="1" x14ac:dyDescent="0.25">
      <c r="A2" t="s">
        <v>342</v>
      </c>
      <c r="B2" t="s">
        <v>80</v>
      </c>
      <c r="C2" s="1">
        <v>43623</v>
      </c>
      <c r="G2" s="1">
        <v>45617</v>
      </c>
      <c r="H2" t="s">
        <v>81</v>
      </c>
      <c r="I2" t="str">
        <f>"TAYLOR"</f>
        <v>TAYLOR</v>
      </c>
      <c r="J2" t="str">
        <f>"PAIGE"</f>
        <v>PAIGE</v>
      </c>
      <c r="K2" t="str">
        <f>"L.[jp.s.winston]"</f>
        <v>L.[jp.s.winston]</v>
      </c>
      <c r="L2" t="str">
        <f>"Partner"</f>
        <v>Partner</v>
      </c>
      <c r="M2" t="str">
        <f>"5080 SPECTRUM DRIVE"</f>
        <v>5080 SPECTRUM DRIVE</v>
      </c>
      <c r="N2" t="str">
        <f>"SUITE 850W"</f>
        <v>SUITE 850W</v>
      </c>
      <c r="O2" t="str">
        <f>"ADDISON"</f>
        <v>ADDISON</v>
      </c>
      <c r="P2" t="str">
        <f>"TX"</f>
        <v>TX</v>
      </c>
      <c r="Q2" s="7" t="str">
        <f>"75001"</f>
        <v>75001</v>
      </c>
      <c r="R2" t="str">
        <f t="shared" ref="R2:R12" si="0">"UNITED STATES OF AMERICA"</f>
        <v>UNITED STATES OF AMERICA</v>
      </c>
      <c r="S2" t="str">
        <f>""</f>
        <v/>
      </c>
      <c r="T2" s="7" t="str">
        <f>"469-791-0360"</f>
        <v>469-791-0360</v>
      </c>
      <c r="U2" t="str">
        <f>""</f>
        <v/>
      </c>
      <c r="V2" s="9" t="str">
        <f>"972-233-3134"</f>
        <v>972-233-3134</v>
      </c>
      <c r="W2" t="str">
        <f>"PTAYLOR@FRAGOMEN.COM"</f>
        <v>PTAYLOR@FRAGOMEN.COM</v>
      </c>
      <c r="X2" t="str">
        <f>"TISHMAN CONSTRUCTION CORPORATION"</f>
        <v>TISHMAN CONSTRUCTION CORPORATION</v>
      </c>
      <c r="Y2" t="str">
        <f>"AECOM TISHMAN"</f>
        <v>AECOM TISHMAN</v>
      </c>
      <c r="Z2" t="str">
        <f>"4840 COX ROAD"</f>
        <v>4840 COX ROAD</v>
      </c>
      <c r="AA2" t="str">
        <f>"N/A"</f>
        <v>N/A</v>
      </c>
      <c r="AB2" t="str">
        <f>"GLEN ALLEN"</f>
        <v>GLEN ALLEN</v>
      </c>
      <c r="AC2" t="str">
        <f>"VA"</f>
        <v>VA</v>
      </c>
      <c r="AD2" s="7" t="str">
        <f>"23060"</f>
        <v>23060</v>
      </c>
      <c r="AE2" t="str">
        <f t="shared" ref="AE2:AE33" si="1">"UNITED STATES OF AMERICA"</f>
        <v>UNITED STATES OF AMERICA</v>
      </c>
      <c r="AF2" t="str">
        <f>""</f>
        <v/>
      </c>
      <c r="AG2" s="9" t="str">
        <f>"804-515-8514"</f>
        <v>804-515-8514</v>
      </c>
      <c r="AH2" t="str">
        <f>""</f>
        <v/>
      </c>
      <c r="AI2" t="str">
        <f>"611088522"</f>
        <v>611088522</v>
      </c>
      <c r="AJ2" t="str">
        <f>"541330"</f>
        <v>541330</v>
      </c>
      <c r="AK2" t="s">
        <v>83</v>
      </c>
      <c r="AL2" t="s">
        <v>83</v>
      </c>
      <c r="AM2" t="s">
        <v>84</v>
      </c>
      <c r="AN2" t="s">
        <v>83</v>
      </c>
      <c r="AQ2" t="str">
        <f>"Structural Project Manager"</f>
        <v>Structural Project Manager</v>
      </c>
      <c r="AR2" t="str">
        <f>"17-2051"</f>
        <v>17-2051</v>
      </c>
      <c r="AS2" t="str">
        <f>"Civil Engineers"</f>
        <v>Civil Engineers</v>
      </c>
      <c r="AT2" t="str">
        <f>"Senior Vice President"</f>
        <v>Senior Vice President</v>
      </c>
      <c r="AU2" t="s">
        <v>82</v>
      </c>
      <c r="AV2" t="str">
        <f>"3"</f>
        <v>3</v>
      </c>
      <c r="AW2" t="str">
        <f>"Subordinate"</f>
        <v>Subordinate</v>
      </c>
      <c r="AX2" t="s">
        <v>83</v>
      </c>
      <c r="AY2" t="str">
        <f>""</f>
        <v/>
      </c>
      <c r="AZ2" t="s">
        <v>107</v>
      </c>
      <c r="BB2" t="s">
        <v>343</v>
      </c>
      <c r="BC2" t="s">
        <v>83</v>
      </c>
      <c r="BE2" t="s">
        <v>83</v>
      </c>
      <c r="BH2" t="s">
        <v>82</v>
      </c>
      <c r="BI2">
        <v>60</v>
      </c>
      <c r="BJ2" t="s">
        <v>344</v>
      </c>
      <c r="BK2" t="s">
        <v>344</v>
      </c>
      <c r="BL2" t="str">
        <f>"100 Park Avenue"</f>
        <v>100 Park Avenue</v>
      </c>
      <c r="BM2" t="str">
        <f>""</f>
        <v/>
      </c>
      <c r="BN2" t="str">
        <f>"New York"</f>
        <v>New York</v>
      </c>
      <c r="BO2" t="s">
        <v>246</v>
      </c>
      <c r="BP2" t="s">
        <v>119</v>
      </c>
      <c r="BQ2" s="7" t="str">
        <f>"10017"</f>
        <v>10017</v>
      </c>
      <c r="BR2" t="s">
        <v>83</v>
      </c>
      <c r="BS2" t="str">
        <f>""</f>
        <v/>
      </c>
    </row>
    <row r="3" spans="1:79" ht="15" customHeight="1" x14ac:dyDescent="0.25">
      <c r="A3" t="s">
        <v>331</v>
      </c>
      <c r="B3" t="s">
        <v>80</v>
      </c>
      <c r="C3" s="1">
        <v>43621</v>
      </c>
      <c r="G3" s="1">
        <v>45617</v>
      </c>
      <c r="H3" t="s">
        <v>81</v>
      </c>
      <c r="I3" t="str">
        <f>"GARILAS"</f>
        <v>GARILAS</v>
      </c>
      <c r="J3" t="str">
        <f>"JAMES"</f>
        <v>JAMES</v>
      </c>
      <c r="K3" t="str">
        <f>"NICHOLAS"</f>
        <v>NICHOLAS</v>
      </c>
      <c r="L3" t="str">
        <f>"OGLETREE, DEAKINS, NASH, SMOAK &amp; STEWART, P.C."</f>
        <v>OGLETREE, DEAKINS, NASH, SMOAK &amp; STEWART, P.C.</v>
      </c>
      <c r="M3" t="str">
        <f>"2142 BOYCE STREET, SUITE 401"</f>
        <v>2142 BOYCE STREET, SUITE 401</v>
      </c>
      <c r="N3" t="str">
        <f>""</f>
        <v/>
      </c>
      <c r="O3" t="str">
        <f>"COLUMBIA"</f>
        <v>COLUMBIA</v>
      </c>
      <c r="P3" t="str">
        <f>"SC"</f>
        <v>SC</v>
      </c>
      <c r="Q3" s="7" t="str">
        <f>"29201"</f>
        <v>29201</v>
      </c>
      <c r="R3" t="str">
        <f t="shared" si="0"/>
        <v>UNITED STATES OF AMERICA</v>
      </c>
      <c r="S3" t="str">
        <f>"N/A"</f>
        <v>N/A</v>
      </c>
      <c r="T3" s="7" t="str">
        <f>"803-252-1300"</f>
        <v>803-252-1300</v>
      </c>
      <c r="U3" t="str">
        <f>""</f>
        <v/>
      </c>
      <c r="V3" s="9" t="str">
        <f>"803-254-6517"</f>
        <v>803-254-6517</v>
      </c>
      <c r="W3" t="str">
        <f>"JAMES.GARILAS@OGLETREEDEAKINS.COM"</f>
        <v>JAMES.GARILAS@OGLETREEDEAKINS.COM</v>
      </c>
      <c r="X3" t="str">
        <f>"AMERICAN AIRLINES, INC."</f>
        <v>AMERICAN AIRLINES, INC.</v>
      </c>
      <c r="Y3" t="str">
        <f>""</f>
        <v/>
      </c>
      <c r="Z3" t="str">
        <f>"4333 AMON CARTER BLVD."</f>
        <v>4333 AMON CARTER BLVD.</v>
      </c>
      <c r="AA3" t="str">
        <f>""</f>
        <v/>
      </c>
      <c r="AB3" t="str">
        <f>"FT. WORTH"</f>
        <v>FT. WORTH</v>
      </c>
      <c r="AC3" t="str">
        <f>"TX"</f>
        <v>TX</v>
      </c>
      <c r="AD3" s="7" t="str">
        <f>"76155"</f>
        <v>76155</v>
      </c>
      <c r="AE3" t="str">
        <f t="shared" si="1"/>
        <v>UNITED STATES OF AMERICA</v>
      </c>
      <c r="AF3" t="str">
        <f>""</f>
        <v/>
      </c>
      <c r="AG3" s="9" t="str">
        <f>"817-963-1234"</f>
        <v>817-963-1234</v>
      </c>
      <c r="AH3" t="str">
        <f>""</f>
        <v/>
      </c>
      <c r="AI3" t="str">
        <f>"131502798"</f>
        <v>131502798</v>
      </c>
      <c r="AJ3" t="str">
        <f>"481111"</f>
        <v>481111</v>
      </c>
      <c r="AK3" t="s">
        <v>83</v>
      </c>
      <c r="AL3" t="s">
        <v>83</v>
      </c>
      <c r="AM3" t="s">
        <v>84</v>
      </c>
      <c r="AN3" t="s">
        <v>83</v>
      </c>
      <c r="AQ3" t="str">
        <f>"Analyst, Operations Performance &amp; Policy"</f>
        <v>Analyst, Operations Performance &amp; Policy</v>
      </c>
      <c r="AR3" t="str">
        <f>"15-2031"</f>
        <v>15-2031</v>
      </c>
      <c r="AS3" t="str">
        <f>"Operations Research Analysts"</f>
        <v>Operations Research Analysts</v>
      </c>
      <c r="AT3" t="str">
        <f>"Mgr, Cargo Ops Performance &amp; Policy"</f>
        <v>Mgr, Cargo Ops Performance &amp; Policy</v>
      </c>
      <c r="AU3" t="s">
        <v>83</v>
      </c>
      <c r="AV3" t="str">
        <f>""</f>
        <v/>
      </c>
      <c r="AW3" t="str">
        <f>"None"</f>
        <v>None</v>
      </c>
      <c r="AX3" t="s">
        <v>83</v>
      </c>
      <c r="AY3" t="str">
        <f>""</f>
        <v/>
      </c>
      <c r="AZ3" t="s">
        <v>93</v>
      </c>
      <c r="BA3" t="s">
        <v>84</v>
      </c>
      <c r="BB3" t="s">
        <v>332</v>
      </c>
      <c r="BC3" t="s">
        <v>83</v>
      </c>
      <c r="BE3" t="s">
        <v>83</v>
      </c>
      <c r="BH3" t="s">
        <v>82</v>
      </c>
      <c r="BI3">
        <v>36</v>
      </c>
      <c r="BJ3" t="s">
        <v>333</v>
      </c>
      <c r="BK3" t="s">
        <v>334</v>
      </c>
      <c r="BL3" t="str">
        <f>"3939 W. John Carpenter Fwy."</f>
        <v>3939 W. John Carpenter Fwy.</v>
      </c>
      <c r="BM3" t="str">
        <f>""</f>
        <v/>
      </c>
      <c r="BN3" t="str">
        <f>"Irving"</f>
        <v>Irving</v>
      </c>
      <c r="BO3" t="s">
        <v>324</v>
      </c>
      <c r="BP3" t="s">
        <v>191</v>
      </c>
      <c r="BQ3" s="7" t="str">
        <f>"75063"</f>
        <v>75063</v>
      </c>
      <c r="BR3" t="s">
        <v>83</v>
      </c>
      <c r="BS3" t="str">
        <f>""</f>
        <v/>
      </c>
    </row>
    <row r="4" spans="1:79" ht="15" customHeight="1" x14ac:dyDescent="0.25">
      <c r="A4" t="s">
        <v>335</v>
      </c>
      <c r="B4" t="s">
        <v>80</v>
      </c>
      <c r="C4" s="1">
        <v>43621</v>
      </c>
      <c r="G4" s="1">
        <v>45617</v>
      </c>
      <c r="H4" t="s">
        <v>81</v>
      </c>
      <c r="I4" t="str">
        <f>"LOPEZ"</f>
        <v>LOPEZ</v>
      </c>
      <c r="J4" t="str">
        <f>"KATHLEEN"</f>
        <v>KATHLEEN</v>
      </c>
      <c r="K4" t="str">
        <f>"MARIA"</f>
        <v>MARIA</v>
      </c>
      <c r="L4" t="str">
        <f>"ATTORNEY AT LAW"</f>
        <v>ATTORNEY AT LAW</v>
      </c>
      <c r="M4" t="str">
        <f>"550 MONTGOMERY STREET"</f>
        <v>550 MONTGOMERY STREET</v>
      </c>
      <c r="N4" t="str">
        <f>"SUITE 650"</f>
        <v>SUITE 650</v>
      </c>
      <c r="O4" t="str">
        <f>"SAN FRANCISCO"</f>
        <v>SAN FRANCISCO</v>
      </c>
      <c r="P4" t="str">
        <f>"CA"</f>
        <v>CA</v>
      </c>
      <c r="Q4" s="7" t="str">
        <f>"94111"</f>
        <v>94111</v>
      </c>
      <c r="R4" t="str">
        <f t="shared" si="0"/>
        <v>UNITED STATES OF AMERICA</v>
      </c>
      <c r="S4" t="str">
        <f>""</f>
        <v/>
      </c>
      <c r="T4" s="7" t="str">
        <f>"415-395-9331"</f>
        <v>415-395-9331</v>
      </c>
      <c r="U4" t="str">
        <f>""</f>
        <v/>
      </c>
      <c r="V4" s="9" t="str">
        <f>"415-395-9372"</f>
        <v>415-395-9372</v>
      </c>
      <c r="W4" t="str">
        <f>"KLOPEZ@WSMIMMIGRATION.COM"</f>
        <v>KLOPEZ@WSMIMMIGRATION.COM</v>
      </c>
      <c r="X4" t="str">
        <f>"DIRECTLY SOFTWARE, INC."</f>
        <v>DIRECTLY SOFTWARE, INC.</v>
      </c>
      <c r="Y4" t="str">
        <f>""</f>
        <v/>
      </c>
      <c r="Z4" t="str">
        <f>"333 BRYANT STREET"</f>
        <v>333 BRYANT STREET</v>
      </c>
      <c r="AA4" t="str">
        <f>"SUITE 250"</f>
        <v>SUITE 250</v>
      </c>
      <c r="AB4" t="str">
        <f>"SAN FRANCISCO"</f>
        <v>SAN FRANCISCO</v>
      </c>
      <c r="AC4" t="str">
        <f>"CA"</f>
        <v>CA</v>
      </c>
      <c r="AD4" s="7" t="str">
        <f>"94107"</f>
        <v>94107</v>
      </c>
      <c r="AE4" t="str">
        <f t="shared" si="1"/>
        <v>UNITED STATES OF AMERICA</v>
      </c>
      <c r="AF4" t="str">
        <f>""</f>
        <v/>
      </c>
      <c r="AG4" s="9" t="str">
        <f>"510-672-3346"</f>
        <v>510-672-3346</v>
      </c>
      <c r="AH4" t="str">
        <f>""</f>
        <v/>
      </c>
      <c r="AI4" t="str">
        <f>"451092372"</f>
        <v>451092372</v>
      </c>
      <c r="AJ4" t="str">
        <f>"5415"</f>
        <v>5415</v>
      </c>
      <c r="AK4" t="s">
        <v>83</v>
      </c>
      <c r="AL4" t="s">
        <v>83</v>
      </c>
      <c r="AM4" t="s">
        <v>84</v>
      </c>
      <c r="AN4" t="s">
        <v>83</v>
      </c>
      <c r="AQ4" t="str">
        <f>"Senior Designers"</f>
        <v>Senior Designers</v>
      </c>
      <c r="AR4" t="str">
        <f>"15-1132"</f>
        <v>15-1132</v>
      </c>
      <c r="AS4" t="str">
        <f>"Software Developers, Applications"</f>
        <v>Software Developers, Applications</v>
      </c>
      <c r="AT4" t="str">
        <f>"Head of Product"</f>
        <v>Head of Product</v>
      </c>
      <c r="AU4" t="s">
        <v>82</v>
      </c>
      <c r="AV4" t="str">
        <f>"1"</f>
        <v>1</v>
      </c>
      <c r="AW4" t="str">
        <f>"Subordinate"</f>
        <v>Subordinate</v>
      </c>
      <c r="AX4" t="s">
        <v>83</v>
      </c>
      <c r="AY4" t="str">
        <f>""</f>
        <v/>
      </c>
      <c r="AZ4" t="s">
        <v>93</v>
      </c>
      <c r="BB4" t="s">
        <v>336</v>
      </c>
      <c r="BC4" t="s">
        <v>83</v>
      </c>
      <c r="BE4" t="s">
        <v>83</v>
      </c>
      <c r="BH4" t="s">
        <v>82</v>
      </c>
      <c r="BI4">
        <v>36</v>
      </c>
      <c r="BJ4" t="s">
        <v>337</v>
      </c>
      <c r="BK4" t="s">
        <v>338</v>
      </c>
      <c r="BL4" t="str">
        <f>"333 BRYANT STREET"</f>
        <v>333 BRYANT STREET</v>
      </c>
      <c r="BM4" t="str">
        <f>"SUITE 250"</f>
        <v>SUITE 250</v>
      </c>
      <c r="BN4" t="str">
        <f>"SAN FRANCISCO"</f>
        <v>SAN FRANCISCO</v>
      </c>
      <c r="BO4" t="s">
        <v>237</v>
      </c>
      <c r="BP4" t="s">
        <v>153</v>
      </c>
      <c r="BQ4" s="7" t="str">
        <f>"94107"</f>
        <v>94107</v>
      </c>
      <c r="BR4" t="s">
        <v>83</v>
      </c>
      <c r="BS4" t="str">
        <f>"15-1132.00"</f>
        <v>15-1132.00</v>
      </c>
      <c r="BU4" s="3">
        <v>147597</v>
      </c>
      <c r="BV4" t="s">
        <v>339</v>
      </c>
      <c r="BW4" t="s">
        <v>155</v>
      </c>
      <c r="BX4" t="s">
        <v>156</v>
      </c>
    </row>
    <row r="5" spans="1:79" ht="15" customHeight="1" x14ac:dyDescent="0.25">
      <c r="A5" t="s">
        <v>340</v>
      </c>
      <c r="B5" t="s">
        <v>80</v>
      </c>
      <c r="C5" s="1">
        <v>43621</v>
      </c>
      <c r="G5" s="1">
        <v>45617</v>
      </c>
      <c r="H5" t="s">
        <v>81</v>
      </c>
      <c r="I5" t="str">
        <f>"GARILAS"</f>
        <v>GARILAS</v>
      </c>
      <c r="J5" t="str">
        <f>"JAMES"</f>
        <v>JAMES</v>
      </c>
      <c r="K5" t="str">
        <f>"NICHOLAS"</f>
        <v>NICHOLAS</v>
      </c>
      <c r="L5" t="str">
        <f>"OGLETREE, DEAKINS, NASH, SMOAK &amp; STEWART, P.C."</f>
        <v>OGLETREE, DEAKINS, NASH, SMOAK &amp; STEWART, P.C.</v>
      </c>
      <c r="M5" t="str">
        <f>"2142 BOYCE STREET, SUITE 401"</f>
        <v>2142 BOYCE STREET, SUITE 401</v>
      </c>
      <c r="N5" t="str">
        <f>""</f>
        <v/>
      </c>
      <c r="O5" t="str">
        <f>"COLUMBIA"</f>
        <v>COLUMBIA</v>
      </c>
      <c r="P5" t="str">
        <f>"SC"</f>
        <v>SC</v>
      </c>
      <c r="Q5" s="7" t="str">
        <f>"29201"</f>
        <v>29201</v>
      </c>
      <c r="R5" t="str">
        <f t="shared" si="0"/>
        <v>UNITED STATES OF AMERICA</v>
      </c>
      <c r="S5" t="str">
        <f>"N/A"</f>
        <v>N/A</v>
      </c>
      <c r="T5" s="7" t="str">
        <f>"803-252-1300"</f>
        <v>803-252-1300</v>
      </c>
      <c r="U5" t="str">
        <f>""</f>
        <v/>
      </c>
      <c r="V5" s="9" t="str">
        <f>"803-254-6517"</f>
        <v>803-254-6517</v>
      </c>
      <c r="W5" t="str">
        <f>"JAMES.GARILAS@OGLETREEDEAKINS.COM"</f>
        <v>JAMES.GARILAS@OGLETREEDEAKINS.COM</v>
      </c>
      <c r="X5" t="str">
        <f>"AMERICAN AIRLINES, INC."</f>
        <v>AMERICAN AIRLINES, INC.</v>
      </c>
      <c r="Y5" t="str">
        <f>""</f>
        <v/>
      </c>
      <c r="Z5" t="str">
        <f>"4333 AMON CARTER BLVD."</f>
        <v>4333 AMON CARTER BLVD.</v>
      </c>
      <c r="AA5" t="str">
        <f>""</f>
        <v/>
      </c>
      <c r="AB5" t="str">
        <f>"FT. WORTH"</f>
        <v>FT. WORTH</v>
      </c>
      <c r="AC5" t="str">
        <f>"TX"</f>
        <v>TX</v>
      </c>
      <c r="AD5" s="7" t="str">
        <f>"76155"</f>
        <v>76155</v>
      </c>
      <c r="AE5" t="str">
        <f t="shared" si="1"/>
        <v>UNITED STATES OF AMERICA</v>
      </c>
      <c r="AF5" t="str">
        <f>""</f>
        <v/>
      </c>
      <c r="AG5" s="9" t="str">
        <f>"817-963-1234"</f>
        <v>817-963-1234</v>
      </c>
      <c r="AH5" t="str">
        <f>""</f>
        <v/>
      </c>
      <c r="AI5" t="str">
        <f>"131502798"</f>
        <v>131502798</v>
      </c>
      <c r="AJ5" t="str">
        <f>"481111"</f>
        <v>481111</v>
      </c>
      <c r="AK5" t="s">
        <v>83</v>
      </c>
      <c r="AL5" t="s">
        <v>83</v>
      </c>
      <c r="AM5" t="s">
        <v>84</v>
      </c>
      <c r="AN5" t="s">
        <v>83</v>
      </c>
      <c r="AQ5" t="str">
        <f>"Analyst, Operations Performance &amp; Policy"</f>
        <v>Analyst, Operations Performance &amp; Policy</v>
      </c>
      <c r="AR5" t="str">
        <f>"15-2031"</f>
        <v>15-2031</v>
      </c>
      <c r="AS5" t="str">
        <f>"Operations Research Analysts"</f>
        <v>Operations Research Analysts</v>
      </c>
      <c r="AT5" t="str">
        <f>"Mgr, Cargo Ops Performance &amp; Policy"</f>
        <v>Mgr, Cargo Ops Performance &amp; Policy</v>
      </c>
      <c r="AU5" t="s">
        <v>83</v>
      </c>
      <c r="AV5" t="str">
        <f>""</f>
        <v/>
      </c>
      <c r="AW5" t="str">
        <f>"None"</f>
        <v>None</v>
      </c>
      <c r="AX5" t="s">
        <v>83</v>
      </c>
      <c r="AY5" t="str">
        <f>""</f>
        <v/>
      </c>
      <c r="AZ5" t="s">
        <v>93</v>
      </c>
      <c r="BA5" t="s">
        <v>84</v>
      </c>
      <c r="BB5" t="s">
        <v>332</v>
      </c>
      <c r="BC5" t="s">
        <v>83</v>
      </c>
      <c r="BE5" t="s">
        <v>83</v>
      </c>
      <c r="BH5" t="s">
        <v>82</v>
      </c>
      <c r="BI5">
        <v>36</v>
      </c>
      <c r="BJ5" t="s">
        <v>333</v>
      </c>
      <c r="BK5" t="s">
        <v>334</v>
      </c>
      <c r="BL5" t="str">
        <f>"4333 Amon Carter Blvd."</f>
        <v>4333 Amon Carter Blvd.</v>
      </c>
      <c r="BM5" t="str">
        <f>""</f>
        <v/>
      </c>
      <c r="BN5" t="str">
        <f>"Ft. Worth"</f>
        <v>Ft. Worth</v>
      </c>
      <c r="BO5" t="s">
        <v>341</v>
      </c>
      <c r="BP5" t="s">
        <v>191</v>
      </c>
      <c r="BQ5" s="7" t="str">
        <f>"76155"</f>
        <v>76155</v>
      </c>
      <c r="BR5" t="s">
        <v>83</v>
      </c>
      <c r="BS5" t="str">
        <f>""</f>
        <v/>
      </c>
    </row>
    <row r="6" spans="1:79" ht="15" customHeight="1" x14ac:dyDescent="0.25">
      <c r="A6" t="s">
        <v>327</v>
      </c>
      <c r="B6" t="s">
        <v>80</v>
      </c>
      <c r="C6" s="1">
        <v>43620</v>
      </c>
      <c r="G6" s="1">
        <v>45617</v>
      </c>
      <c r="H6" t="s">
        <v>81</v>
      </c>
      <c r="I6" t="str">
        <f>"HURST"</f>
        <v>HURST</v>
      </c>
      <c r="J6" t="str">
        <f>"KRISTA"</f>
        <v>KRISTA</v>
      </c>
      <c r="K6" t="str">
        <f>"LYNN"</f>
        <v>LYNN</v>
      </c>
      <c r="L6" t="str">
        <f>"Attorney"</f>
        <v>Attorney</v>
      </c>
      <c r="M6" t="str">
        <f>"575 E. BIG BEAVER RD."</f>
        <v>575 E. BIG BEAVER RD.</v>
      </c>
      <c r="N6" t="str">
        <f>"SUITE 190"</f>
        <v>SUITE 190</v>
      </c>
      <c r="O6" t="str">
        <f>"TROY"</f>
        <v>TROY</v>
      </c>
      <c r="P6" t="str">
        <f>"MI"</f>
        <v>MI</v>
      </c>
      <c r="Q6" s="7" t="str">
        <f>"48083"</f>
        <v>48083</v>
      </c>
      <c r="R6" t="str">
        <f t="shared" si="0"/>
        <v>UNITED STATES OF AMERICA</v>
      </c>
      <c r="S6" t="str">
        <f>""</f>
        <v/>
      </c>
      <c r="T6" s="7" t="str">
        <f>"248-528-1426"</f>
        <v>248-528-1426</v>
      </c>
      <c r="U6" t="str">
        <f>""</f>
        <v/>
      </c>
      <c r="V6" s="9" t="str">
        <f>"248-928-0349"</f>
        <v>248-928-0349</v>
      </c>
      <c r="W6" t="str">
        <f>"KRISTA@CLEMENT-HURST.COM"</f>
        <v>KRISTA@CLEMENT-HURST.COM</v>
      </c>
      <c r="X6" t="str">
        <f>"HCL GLOBAL SYSTEMS, INC."</f>
        <v>HCL GLOBAL SYSTEMS, INC.</v>
      </c>
      <c r="Y6" t="str">
        <f>""</f>
        <v/>
      </c>
      <c r="Z6" t="str">
        <f>"24543 INDOPLEX CIRCLE"</f>
        <v>24543 INDOPLEX CIRCLE</v>
      </c>
      <c r="AA6" t="str">
        <f>"SUITE 220"</f>
        <v>SUITE 220</v>
      </c>
      <c r="AB6" t="str">
        <f>"FARMINGTON HILLS"</f>
        <v>FARMINGTON HILLS</v>
      </c>
      <c r="AC6" t="str">
        <f>"MI"</f>
        <v>MI</v>
      </c>
      <c r="AD6" s="7" t="str">
        <f>"48335"</f>
        <v>48335</v>
      </c>
      <c r="AE6" t="str">
        <f t="shared" si="1"/>
        <v>UNITED STATES OF AMERICA</v>
      </c>
      <c r="AF6" t="str">
        <f>""</f>
        <v/>
      </c>
      <c r="AG6" s="9" t="str">
        <f>"248-473-0720"</f>
        <v>248-473-0720</v>
      </c>
      <c r="AH6" t="str">
        <f>""</f>
        <v/>
      </c>
      <c r="AI6" t="str">
        <f>"134309337"</f>
        <v>134309337</v>
      </c>
      <c r="AJ6" t="str">
        <f>"541511"</f>
        <v>541511</v>
      </c>
      <c r="AK6" t="s">
        <v>83</v>
      </c>
      <c r="AL6" t="s">
        <v>83</v>
      </c>
      <c r="AM6" t="s">
        <v>84</v>
      </c>
      <c r="AN6" t="s">
        <v>83</v>
      </c>
      <c r="AQ6" t="str">
        <f>"Software Developer"</f>
        <v>Software Developer</v>
      </c>
      <c r="AR6" t="str">
        <f>"15-1132"</f>
        <v>15-1132</v>
      </c>
      <c r="AS6" t="str">
        <f>"Software Developers, Applications"</f>
        <v>Software Developers, Applications</v>
      </c>
      <c r="AT6" t="str">
        <f>""</f>
        <v/>
      </c>
      <c r="AU6" t="s">
        <v>83</v>
      </c>
      <c r="AV6" t="str">
        <f>""</f>
        <v/>
      </c>
      <c r="AW6" t="str">
        <f>"None"</f>
        <v>None</v>
      </c>
      <c r="AX6" t="s">
        <v>83</v>
      </c>
      <c r="AY6" t="str">
        <f>""</f>
        <v/>
      </c>
      <c r="AZ6" t="s">
        <v>107</v>
      </c>
      <c r="BB6" t="s">
        <v>328</v>
      </c>
      <c r="BC6" t="s">
        <v>83</v>
      </c>
      <c r="BE6" t="s">
        <v>83</v>
      </c>
      <c r="BH6" t="s">
        <v>82</v>
      </c>
      <c r="BI6">
        <v>24</v>
      </c>
      <c r="BJ6" t="s">
        <v>329</v>
      </c>
      <c r="BK6" s="2" t="s">
        <v>330</v>
      </c>
      <c r="BL6" t="str">
        <f>"24543 Indoplex Circle"</f>
        <v>24543 Indoplex Circle</v>
      </c>
      <c r="BM6" t="str">
        <f>"Suite 220"</f>
        <v>Suite 220</v>
      </c>
      <c r="BN6" t="str">
        <f>"Farmington Hills"</f>
        <v>Farmington Hills</v>
      </c>
      <c r="BO6" t="s">
        <v>316</v>
      </c>
      <c r="BP6" t="s">
        <v>317</v>
      </c>
      <c r="BQ6" s="7" t="str">
        <f>"48335"</f>
        <v>48335</v>
      </c>
      <c r="BR6" t="s">
        <v>83</v>
      </c>
      <c r="BS6" t="str">
        <f>""</f>
        <v/>
      </c>
    </row>
    <row r="7" spans="1:79" ht="15" customHeight="1" x14ac:dyDescent="0.25">
      <c r="A7" t="s">
        <v>325</v>
      </c>
      <c r="B7" t="s">
        <v>80</v>
      </c>
      <c r="C7" s="1">
        <v>43609</v>
      </c>
      <c r="G7" s="1">
        <v>45617</v>
      </c>
      <c r="H7" t="s">
        <v>81</v>
      </c>
      <c r="I7" t="str">
        <f>"Morrison"</f>
        <v>Morrison</v>
      </c>
      <c r="J7" t="str">
        <f>"James"</f>
        <v>James</v>
      </c>
      <c r="K7" t="str">
        <f>"E."</f>
        <v>E.</v>
      </c>
      <c r="L7" t="str">
        <f>"Attorney"</f>
        <v>Attorney</v>
      </c>
      <c r="M7" t="str">
        <f>"1001 Pennsylvania Avenue NW"</f>
        <v>1001 Pennsylvania Avenue NW</v>
      </c>
      <c r="N7" t="str">
        <f>"STE 1300 South"</f>
        <v>STE 1300 South</v>
      </c>
      <c r="O7" t="str">
        <f>"Washington"</f>
        <v>Washington</v>
      </c>
      <c r="P7" t="str">
        <f>"DC"</f>
        <v>DC</v>
      </c>
      <c r="Q7" s="7" t="str">
        <f>"20004"</f>
        <v>20004</v>
      </c>
      <c r="R7" t="str">
        <f t="shared" si="0"/>
        <v>UNITED STATES OF AMERICA</v>
      </c>
      <c r="S7" t="str">
        <f>""</f>
        <v/>
      </c>
      <c r="T7" s="7" t="str">
        <f>"202-572-8670"</f>
        <v>202-572-8670</v>
      </c>
      <c r="U7" t="str">
        <f>""</f>
        <v/>
      </c>
      <c r="V7" s="9" t="str">
        <f>"202-772-0921"</f>
        <v>202-772-0921</v>
      </c>
      <c r="W7" t="str">
        <f>"jmorrison@clarkhill.com"</f>
        <v>jmorrison@clarkhill.com</v>
      </c>
      <c r="X7" t="str">
        <f>"McAllen Hospitals, LP"</f>
        <v>McAllen Hospitals, LP</v>
      </c>
      <c r="Y7" t="str">
        <f>"South Texas Health System"</f>
        <v>South Texas Health System</v>
      </c>
      <c r="Z7" t="str">
        <f>"1400 W. Trenton Road"</f>
        <v>1400 W. Trenton Road</v>
      </c>
      <c r="AA7" t="str">
        <f>""</f>
        <v/>
      </c>
      <c r="AB7" t="str">
        <f>"Edinburg"</f>
        <v>Edinburg</v>
      </c>
      <c r="AC7" t="str">
        <f>"TX"</f>
        <v>TX</v>
      </c>
      <c r="AD7" s="7" t="str">
        <f>"78541"</f>
        <v>78541</v>
      </c>
      <c r="AE7" t="str">
        <f t="shared" si="1"/>
        <v>UNITED STATES OF AMERICA</v>
      </c>
      <c r="AF7" t="str">
        <f>""</f>
        <v/>
      </c>
      <c r="AG7" s="9" t="str">
        <f>"956-388-2111"</f>
        <v>956-388-2111</v>
      </c>
      <c r="AH7" t="str">
        <f>""</f>
        <v/>
      </c>
      <c r="AI7" t="str">
        <f>"233069260"</f>
        <v>233069260</v>
      </c>
      <c r="AJ7" t="str">
        <f>"622110"</f>
        <v>622110</v>
      </c>
      <c r="AK7" t="s">
        <v>83</v>
      </c>
      <c r="AL7" t="s">
        <v>83</v>
      </c>
      <c r="AM7" t="s">
        <v>84</v>
      </c>
      <c r="AN7" t="s">
        <v>83</v>
      </c>
      <c r="AQ7" t="str">
        <f>"Registered Nurse"</f>
        <v>Registered Nurse</v>
      </c>
      <c r="AR7" t="str">
        <f>"29-1141"</f>
        <v>29-1141</v>
      </c>
      <c r="AS7" t="str">
        <f>"Registered Nurse"</f>
        <v>Registered Nurse</v>
      </c>
      <c r="AT7" t="str">
        <f>"Nursing Director for Women's Services"</f>
        <v>Nursing Director for Women's Services</v>
      </c>
      <c r="AU7" t="s">
        <v>83</v>
      </c>
      <c r="AV7" t="str">
        <f>""</f>
        <v/>
      </c>
      <c r="AW7" t="str">
        <f>"None"</f>
        <v>None</v>
      </c>
      <c r="AX7" t="s">
        <v>83</v>
      </c>
      <c r="AY7" t="str">
        <f>""</f>
        <v/>
      </c>
      <c r="AZ7" t="s">
        <v>210</v>
      </c>
      <c r="BB7" t="s">
        <v>211</v>
      </c>
      <c r="BC7" t="s">
        <v>83</v>
      </c>
      <c r="BE7" t="s">
        <v>83</v>
      </c>
      <c r="BH7" t="s">
        <v>83</v>
      </c>
      <c r="BK7" t="s">
        <v>326</v>
      </c>
      <c r="BL7" t="str">
        <f>"301 W. Expressway 83"</f>
        <v>301 W. Expressway 83</v>
      </c>
      <c r="BM7" t="str">
        <f>""</f>
        <v/>
      </c>
      <c r="BN7" t="str">
        <f>"McAllen"</f>
        <v>McAllen</v>
      </c>
      <c r="BO7" t="s">
        <v>213</v>
      </c>
      <c r="BP7" t="s">
        <v>191</v>
      </c>
      <c r="BQ7" s="7" t="str">
        <f>"78501"</f>
        <v>78501</v>
      </c>
      <c r="BR7" t="s">
        <v>83</v>
      </c>
      <c r="BS7" t="str">
        <f>""</f>
        <v/>
      </c>
    </row>
    <row r="8" spans="1:79" ht="15" customHeight="1" x14ac:dyDescent="0.25">
      <c r="A8" t="s">
        <v>322</v>
      </c>
      <c r="B8" t="s">
        <v>80</v>
      </c>
      <c r="C8" s="1">
        <v>43606</v>
      </c>
      <c r="G8" s="1">
        <v>45617</v>
      </c>
      <c r="H8" t="s">
        <v>81</v>
      </c>
      <c r="I8" t="str">
        <f>"SELTZER"</f>
        <v>SELTZER</v>
      </c>
      <c r="J8" t="str">
        <f>"SUZANNE"</f>
        <v>SUZANNE</v>
      </c>
      <c r="K8" t="str">
        <f>"BETH"</f>
        <v>BETH</v>
      </c>
      <c r="L8" t="str">
        <f>"Principal"</f>
        <v>Principal</v>
      </c>
      <c r="M8" t="str">
        <f>"16 Madison Square West"</f>
        <v>16 Madison Square West</v>
      </c>
      <c r="N8" t="str">
        <f>"10TH FLOOR"</f>
        <v>10TH FLOOR</v>
      </c>
      <c r="O8" t="str">
        <f>"NEW YORK"</f>
        <v>NEW YORK</v>
      </c>
      <c r="P8" t="str">
        <f>"NY"</f>
        <v>NY</v>
      </c>
      <c r="Q8" s="7" t="str">
        <f>"10010"</f>
        <v>10010</v>
      </c>
      <c r="R8" t="str">
        <f t="shared" si="0"/>
        <v>UNITED STATES OF AMERICA</v>
      </c>
      <c r="S8" t="str">
        <f>""</f>
        <v/>
      </c>
      <c r="T8" s="7" t="str">
        <f>"212-796-8844"</f>
        <v>212-796-8844</v>
      </c>
      <c r="U8" t="str">
        <f>""</f>
        <v/>
      </c>
      <c r="V8" s="9" t="str">
        <f>"212-297-1799"</f>
        <v>212-297-1799</v>
      </c>
      <c r="W8" t="str">
        <f>"SUZANNE.SELTZER@THESELTZERFIRM.COM"</f>
        <v>SUZANNE.SELTZER@THESELTZERFIRM.COM</v>
      </c>
      <c r="X8" t="str">
        <f>"UNIVERSITY OF TEXAS SOUTHWESTERN MEDICAL CENTER"</f>
        <v>UNIVERSITY OF TEXAS SOUTHWESTERN MEDICAL CENTER</v>
      </c>
      <c r="Y8" t="str">
        <f>""</f>
        <v/>
      </c>
      <c r="Z8" t="str">
        <f>"5323 HARRY HINES BLVD."</f>
        <v>5323 HARRY HINES BLVD.</v>
      </c>
      <c r="AA8" t="str">
        <f>""</f>
        <v/>
      </c>
      <c r="AB8" t="str">
        <f>"DALLAS"</f>
        <v>DALLAS</v>
      </c>
      <c r="AC8" t="str">
        <f>"TX"</f>
        <v>TX</v>
      </c>
      <c r="AD8" s="7" t="str">
        <f>"75390"</f>
        <v>75390</v>
      </c>
      <c r="AE8" t="str">
        <f t="shared" si="1"/>
        <v>UNITED STATES OF AMERICA</v>
      </c>
      <c r="AF8" t="str">
        <f>""</f>
        <v/>
      </c>
      <c r="AG8" s="9" t="str">
        <f>"214-633-0010"</f>
        <v>214-633-0010</v>
      </c>
      <c r="AH8" t="str">
        <f>""</f>
        <v/>
      </c>
      <c r="AI8" t="str">
        <f>"756002868"</f>
        <v>756002868</v>
      </c>
      <c r="AJ8" t="str">
        <f>"611310"</f>
        <v>611310</v>
      </c>
      <c r="AK8" t="s">
        <v>82</v>
      </c>
      <c r="AL8" t="s">
        <v>83</v>
      </c>
      <c r="AM8" t="s">
        <v>84</v>
      </c>
      <c r="AN8" t="s">
        <v>83</v>
      </c>
      <c r="AQ8" t="str">
        <f>"Faculty Associate"</f>
        <v>Faculty Associate</v>
      </c>
      <c r="AR8" t="str">
        <f>"29-1123"</f>
        <v>29-1123</v>
      </c>
      <c r="AS8" t="str">
        <f>"Physical Therapists"</f>
        <v>Physical Therapists</v>
      </c>
      <c r="AT8" t="str">
        <f>"Chair, Department of Physical Therapy"</f>
        <v>Chair, Department of Physical Therapy</v>
      </c>
      <c r="AU8" t="s">
        <v>82</v>
      </c>
      <c r="AV8" t="str">
        <f>"2"</f>
        <v>2</v>
      </c>
      <c r="AW8" t="str">
        <f>"Subordinate"</f>
        <v>Subordinate</v>
      </c>
      <c r="AX8" t="s">
        <v>83</v>
      </c>
      <c r="AY8" t="str">
        <f>""</f>
        <v/>
      </c>
      <c r="AZ8" t="s">
        <v>114</v>
      </c>
      <c r="BB8" t="s">
        <v>243</v>
      </c>
      <c r="BC8" t="s">
        <v>83</v>
      </c>
      <c r="BE8" t="s">
        <v>83</v>
      </c>
      <c r="BH8" t="s">
        <v>83</v>
      </c>
      <c r="BK8" t="s">
        <v>323</v>
      </c>
      <c r="BL8" t="str">
        <f>"5323 Harry Hines Blvd."</f>
        <v>5323 Harry Hines Blvd.</v>
      </c>
      <c r="BM8" t="str">
        <f>"UTSW Medical Campus"</f>
        <v>UTSW Medical Campus</v>
      </c>
      <c r="BN8" t="str">
        <f>"Dallas"</f>
        <v>Dallas</v>
      </c>
      <c r="BO8" t="s">
        <v>324</v>
      </c>
      <c r="BP8" t="s">
        <v>191</v>
      </c>
      <c r="BQ8" s="7" t="str">
        <f>"75390"</f>
        <v>75390</v>
      </c>
      <c r="BR8" t="s">
        <v>82</v>
      </c>
      <c r="BS8" t="str">
        <f>""</f>
        <v/>
      </c>
    </row>
    <row r="9" spans="1:79" ht="15" customHeight="1" x14ac:dyDescent="0.25">
      <c r="A9" t="s">
        <v>313</v>
      </c>
      <c r="B9" t="s">
        <v>80</v>
      </c>
      <c r="C9" s="1">
        <v>43601</v>
      </c>
      <c r="G9" s="1">
        <v>45617</v>
      </c>
      <c r="H9" t="s">
        <v>81</v>
      </c>
      <c r="I9" t="str">
        <f>"TALWAR"</f>
        <v>TALWAR</v>
      </c>
      <c r="J9" t="str">
        <f>"GILLIAN"</f>
        <v>GILLIAN</v>
      </c>
      <c r="K9" t="str">
        <f>"HEATHER"</f>
        <v>HEATHER</v>
      </c>
      <c r="L9" t="str">
        <f>"GENERAL COUNSEL"</f>
        <v>GENERAL COUNSEL</v>
      </c>
      <c r="M9" t="str">
        <f>"37655 INTERCHANGE DRIVE"</f>
        <v>37655 INTERCHANGE DRIVE</v>
      </c>
      <c r="N9" t="str">
        <f>""</f>
        <v/>
      </c>
      <c r="O9" t="str">
        <f>"FARMINGTON HILLS"</f>
        <v>FARMINGTON HILLS</v>
      </c>
      <c r="P9" t="str">
        <f>"MI"</f>
        <v>MI</v>
      </c>
      <c r="Q9" s="7" t="str">
        <f>"48335"</f>
        <v>48335</v>
      </c>
      <c r="R9" t="str">
        <f t="shared" si="0"/>
        <v>UNITED STATES OF AMERICA</v>
      </c>
      <c r="S9" t="str">
        <f>""</f>
        <v/>
      </c>
      <c r="T9" s="7" t="str">
        <f>"248-893-6210"</f>
        <v>248-893-6210</v>
      </c>
      <c r="U9" t="str">
        <f>""</f>
        <v/>
      </c>
      <c r="V9" s="9" t="str">
        <f>""</f>
        <v/>
      </c>
      <c r="W9" t="str">
        <f>"GILLIAN.TALWAR@DRIVESYSTEMDESIGN.COM"</f>
        <v>GILLIAN.TALWAR@DRIVESYSTEMDESIGN.COM</v>
      </c>
      <c r="X9" t="str">
        <f>"DRIVE SYSTEM DESIGN INC"</f>
        <v>DRIVE SYSTEM DESIGN INC</v>
      </c>
      <c r="Y9" t="str">
        <f>""</f>
        <v/>
      </c>
      <c r="Z9" t="str">
        <f>"37655 INTERCHANGE DRIVE"</f>
        <v>37655 INTERCHANGE DRIVE</v>
      </c>
      <c r="AA9" t="str">
        <f>""</f>
        <v/>
      </c>
      <c r="AB9" t="str">
        <f>"FARMINGTON HILLS"</f>
        <v>FARMINGTON HILLS</v>
      </c>
      <c r="AC9" t="str">
        <f>"MI"</f>
        <v>MI</v>
      </c>
      <c r="AD9" s="7" t="str">
        <f>"48335"</f>
        <v>48335</v>
      </c>
      <c r="AE9" t="str">
        <f t="shared" si="1"/>
        <v>UNITED STATES OF AMERICA</v>
      </c>
      <c r="AF9" t="str">
        <f>""</f>
        <v/>
      </c>
      <c r="AG9" s="9" t="str">
        <f>"248-893-6210"</f>
        <v>248-893-6210</v>
      </c>
      <c r="AH9" t="str">
        <f>""</f>
        <v/>
      </c>
      <c r="AI9" t="str">
        <f>"464905580"</f>
        <v>464905580</v>
      </c>
      <c r="AJ9" t="str">
        <f>"541330"</f>
        <v>541330</v>
      </c>
      <c r="AK9" t="s">
        <v>83</v>
      </c>
      <c r="AL9" t="s">
        <v>83</v>
      </c>
      <c r="AM9" t="s">
        <v>84</v>
      </c>
      <c r="AN9" t="s">
        <v>83</v>
      </c>
      <c r="AQ9" t="str">
        <f>"Transmission Engineer"</f>
        <v>Transmission Engineer</v>
      </c>
      <c r="AR9" t="str">
        <f>"17-2141"</f>
        <v>17-2141</v>
      </c>
      <c r="AS9" t="str">
        <f>"Mechanical Engineers"</f>
        <v>Mechanical Engineers</v>
      </c>
      <c r="AT9" t="str">
        <f>"Team Leader"</f>
        <v>Team Leader</v>
      </c>
      <c r="AU9" t="s">
        <v>83</v>
      </c>
      <c r="AV9" t="str">
        <f>""</f>
        <v/>
      </c>
      <c r="AW9" t="str">
        <f>"None"</f>
        <v>None</v>
      </c>
      <c r="AX9" t="s">
        <v>82</v>
      </c>
      <c r="AY9" t="str">
        <f>"Occasional travel within the U.S. for meeting with customers."</f>
        <v>Occasional travel within the U.S. for meeting with customers.</v>
      </c>
      <c r="AZ9" t="s">
        <v>107</v>
      </c>
      <c r="BB9" t="s">
        <v>314</v>
      </c>
      <c r="BC9" t="s">
        <v>83</v>
      </c>
      <c r="BE9" t="s">
        <v>83</v>
      </c>
      <c r="BH9" t="s">
        <v>83</v>
      </c>
      <c r="BK9" s="2" t="s">
        <v>315</v>
      </c>
      <c r="BL9" t="str">
        <f>"37655 Interchange drive"</f>
        <v>37655 Interchange drive</v>
      </c>
      <c r="BM9" t="str">
        <f>""</f>
        <v/>
      </c>
      <c r="BN9" t="str">
        <f>"Farmington Hills"</f>
        <v>Farmington Hills</v>
      </c>
      <c r="BO9" t="s">
        <v>316</v>
      </c>
      <c r="BP9" t="s">
        <v>317</v>
      </c>
      <c r="BQ9" s="7" t="str">
        <f>"48335"</f>
        <v>48335</v>
      </c>
      <c r="BR9" t="s">
        <v>83</v>
      </c>
      <c r="BS9" t="str">
        <f>""</f>
        <v/>
      </c>
    </row>
    <row r="10" spans="1:79" ht="15" customHeight="1" x14ac:dyDescent="0.25">
      <c r="A10" t="s">
        <v>318</v>
      </c>
      <c r="B10" t="s">
        <v>80</v>
      </c>
      <c r="C10" s="1">
        <v>43601</v>
      </c>
      <c r="G10" s="1">
        <v>45617</v>
      </c>
      <c r="H10" t="s">
        <v>121</v>
      </c>
      <c r="I10" t="str">
        <f>"BIRKENSTOCK"</f>
        <v>BIRKENSTOCK</v>
      </c>
      <c r="J10" t="str">
        <f>"VERONICA"</f>
        <v>VERONICA</v>
      </c>
      <c r="K10" t="str">
        <f>"T"</f>
        <v>T</v>
      </c>
      <c r="L10" t="str">
        <f>"PRACTICAL EMPLOYEE SOLUTIONS"</f>
        <v>PRACTICAL EMPLOYEE SOLUTIONS</v>
      </c>
      <c r="M10" t="str">
        <f>"7776 MAIN STREET, SUITE 200"</f>
        <v>7776 MAIN STREET, SUITE 200</v>
      </c>
      <c r="N10" t="str">
        <f>""</f>
        <v/>
      </c>
      <c r="O10" t="str">
        <f>"FRISCO"</f>
        <v>FRISCO</v>
      </c>
      <c r="P10" t="str">
        <f>"TX"</f>
        <v>TX</v>
      </c>
      <c r="Q10" s="7" t="str">
        <f>"75033"</f>
        <v>75033</v>
      </c>
      <c r="R10" t="str">
        <f t="shared" si="0"/>
        <v>UNITED STATES OF AMERICA</v>
      </c>
      <c r="S10" t="str">
        <f>"N/A"</f>
        <v>N/A</v>
      </c>
      <c r="T10" s="7" t="str">
        <f>"972-778-9690"</f>
        <v>972-778-9690</v>
      </c>
      <c r="U10" t="str">
        <f>""</f>
        <v/>
      </c>
      <c r="V10" s="9" t="str">
        <f>"214-347-4004"</f>
        <v>214-347-4004</v>
      </c>
      <c r="W10" t="str">
        <f>"AARON@PESUSA.COM"</f>
        <v>AARON@PESUSA.COM</v>
      </c>
      <c r="X10" t="str">
        <f>"Ashley Furniture Industries, Inc."</f>
        <v>Ashley Furniture Industries, Inc.</v>
      </c>
      <c r="Y10" t="str">
        <f>""</f>
        <v/>
      </c>
      <c r="Z10" t="str">
        <f>"One Ashley Way"</f>
        <v>One Ashley Way</v>
      </c>
      <c r="AA10" t="str">
        <f>""</f>
        <v/>
      </c>
      <c r="AB10" t="str">
        <f>"Arcadia"</f>
        <v>Arcadia</v>
      </c>
      <c r="AC10" t="str">
        <f>"WI"</f>
        <v>WI</v>
      </c>
      <c r="AD10" s="7" t="str">
        <f>"54612"</f>
        <v>54612</v>
      </c>
      <c r="AE10" t="str">
        <f t="shared" si="1"/>
        <v>UNITED STATES OF AMERICA</v>
      </c>
      <c r="AF10" t="str">
        <f>""</f>
        <v/>
      </c>
      <c r="AG10" s="9" t="str">
        <f>"608-323-3377"</f>
        <v>608-323-3377</v>
      </c>
      <c r="AH10" t="str">
        <f>""</f>
        <v/>
      </c>
      <c r="AI10" t="str">
        <f>"391141201"</f>
        <v>391141201</v>
      </c>
      <c r="AJ10" t="str">
        <f>"337127"</f>
        <v>337127</v>
      </c>
      <c r="AK10" t="s">
        <v>83</v>
      </c>
      <c r="AL10" t="s">
        <v>83</v>
      </c>
      <c r="AM10" t="s">
        <v>84</v>
      </c>
      <c r="AN10" t="s">
        <v>83</v>
      </c>
      <c r="AQ10" t="str">
        <f>"General Assembler"</f>
        <v>General Assembler</v>
      </c>
      <c r="AR10" t="str">
        <f>"51-2099"</f>
        <v>51-2099</v>
      </c>
      <c r="AS10" t="str">
        <f>"Assemblers and Fabricators, All Other"</f>
        <v>Assemblers and Fabricators, All Other</v>
      </c>
      <c r="AT10" t="str">
        <f>""</f>
        <v/>
      </c>
      <c r="AU10" t="s">
        <v>83</v>
      </c>
      <c r="AV10" t="str">
        <f>""</f>
        <v/>
      </c>
      <c r="AW10" t="str">
        <f>"None"</f>
        <v>None</v>
      </c>
      <c r="AX10" t="s">
        <v>83</v>
      </c>
      <c r="AY10" t="str">
        <f>""</f>
        <v/>
      </c>
      <c r="AZ10" t="s">
        <v>123</v>
      </c>
      <c r="BC10" t="s">
        <v>83</v>
      </c>
      <c r="BE10" t="s">
        <v>83</v>
      </c>
      <c r="BH10" t="s">
        <v>83</v>
      </c>
      <c r="BK10" t="s">
        <v>319</v>
      </c>
      <c r="BL10" t="str">
        <f>"One Ashley Way"</f>
        <v>One Ashley Way</v>
      </c>
      <c r="BM10" t="str">
        <f>""</f>
        <v/>
      </c>
      <c r="BN10" t="str">
        <f>"Arcadia"</f>
        <v>Arcadia</v>
      </c>
      <c r="BO10" t="s">
        <v>320</v>
      </c>
      <c r="BP10" t="s">
        <v>321</v>
      </c>
      <c r="BQ10" s="7" t="str">
        <f>"54612"</f>
        <v>54612</v>
      </c>
      <c r="BR10" t="s">
        <v>83</v>
      </c>
      <c r="BS10" t="str">
        <f>""</f>
        <v/>
      </c>
    </row>
    <row r="11" spans="1:79" ht="15" customHeight="1" x14ac:dyDescent="0.25">
      <c r="A11" t="s">
        <v>308</v>
      </c>
      <c r="B11" t="s">
        <v>80</v>
      </c>
      <c r="C11" s="1">
        <v>43599</v>
      </c>
      <c r="G11" s="1">
        <v>45617</v>
      </c>
      <c r="H11" t="s">
        <v>100</v>
      </c>
      <c r="I11" t="str">
        <f>"BRUNER"</f>
        <v>BRUNER</v>
      </c>
      <c r="J11" t="str">
        <f>"BRIAN"</f>
        <v>BRIAN</v>
      </c>
      <c r="K11" t="str">
        <f>"THOMAS"</f>
        <v>THOMAS</v>
      </c>
      <c r="L11" t="str">
        <f>"ATTORNEY"</f>
        <v>ATTORNEY</v>
      </c>
      <c r="M11" t="str">
        <f>"5125 COUNTY ROAD 101"</f>
        <v>5125 COUNTY ROAD 101</v>
      </c>
      <c r="N11" t="str">
        <f>"SUITE 106"</f>
        <v>SUITE 106</v>
      </c>
      <c r="O11" t="str">
        <f>"MINNETONKA"</f>
        <v>MINNETONKA</v>
      </c>
      <c r="P11" t="str">
        <f>"MN"</f>
        <v>MN</v>
      </c>
      <c r="Q11" s="7" t="str">
        <f>"55345"</f>
        <v>55345</v>
      </c>
      <c r="R11" t="str">
        <f t="shared" si="0"/>
        <v>UNITED STATES OF AMERICA</v>
      </c>
      <c r="S11" t="str">
        <f>""</f>
        <v/>
      </c>
      <c r="T11" s="7" t="str">
        <f>"612-205-5494"</f>
        <v>612-205-5494</v>
      </c>
      <c r="U11" t="str">
        <f>""</f>
        <v/>
      </c>
      <c r="V11" s="9" t="str">
        <f>"612-435-9831"</f>
        <v>612-435-9831</v>
      </c>
      <c r="W11" t="str">
        <f>"BBRUNER@BRUNERLAWGROUP.COM"</f>
        <v>BBRUNER@BRUNERLAWGROUP.COM</v>
      </c>
      <c r="X11" t="str">
        <f>"TRINITY HEALTH"</f>
        <v>TRINITY HEALTH</v>
      </c>
      <c r="Y11" t="str">
        <f>"MERCY MEDICAL CENTER - NORTH IOWA"</f>
        <v>MERCY MEDICAL CENTER - NORTH IOWA</v>
      </c>
      <c r="Z11" t="str">
        <f>"1000 4TH ST SW"</f>
        <v>1000 4TH ST SW</v>
      </c>
      <c r="AA11" t="str">
        <f>""</f>
        <v/>
      </c>
      <c r="AB11" t="str">
        <f>"MASON CITY"</f>
        <v>MASON CITY</v>
      </c>
      <c r="AC11" t="str">
        <f>"IA"</f>
        <v>IA</v>
      </c>
      <c r="AD11" s="7" t="str">
        <f>"50401"</f>
        <v>50401</v>
      </c>
      <c r="AE11" t="str">
        <f t="shared" si="1"/>
        <v>UNITED STATES OF AMERICA</v>
      </c>
      <c r="AF11" t="str">
        <f>""</f>
        <v/>
      </c>
      <c r="AG11" s="9" t="str">
        <f>"641-428-5551"</f>
        <v>641-428-5551</v>
      </c>
      <c r="AH11" t="str">
        <f>""</f>
        <v/>
      </c>
      <c r="AI11" t="str">
        <f>"311373080"</f>
        <v>311373080</v>
      </c>
      <c r="AJ11" t="str">
        <f>"622110"</f>
        <v>622110</v>
      </c>
      <c r="AK11" t="s">
        <v>82</v>
      </c>
      <c r="AL11" t="s">
        <v>83</v>
      </c>
      <c r="AM11" t="s">
        <v>84</v>
      </c>
      <c r="AN11" t="s">
        <v>83</v>
      </c>
      <c r="AQ11" t="str">
        <f>"Radiation Oncologist"</f>
        <v>Radiation Oncologist</v>
      </c>
      <c r="AR11" t="str">
        <f>"29-1069"</f>
        <v>29-1069</v>
      </c>
      <c r="AS11" t="str">
        <f>"Physicians and Surgeons, All Other"</f>
        <v>Physicians and Surgeons, All Other</v>
      </c>
      <c r="AT11" t="str">
        <f>""</f>
        <v/>
      </c>
      <c r="AU11" t="s">
        <v>83</v>
      </c>
      <c r="AV11" t="str">
        <f>""</f>
        <v/>
      </c>
      <c r="AW11" t="str">
        <f>"None"</f>
        <v>None</v>
      </c>
      <c r="AX11" t="s">
        <v>83</v>
      </c>
      <c r="AY11" t="str">
        <f>""</f>
        <v/>
      </c>
      <c r="AZ11" t="s">
        <v>86</v>
      </c>
      <c r="BA11" t="s">
        <v>101</v>
      </c>
      <c r="BB11" t="s">
        <v>88</v>
      </c>
      <c r="BC11" t="s">
        <v>83</v>
      </c>
      <c r="BE11" t="s">
        <v>82</v>
      </c>
      <c r="BF11">
        <v>0</v>
      </c>
      <c r="BG11" t="s">
        <v>309</v>
      </c>
      <c r="BH11" t="s">
        <v>83</v>
      </c>
      <c r="BK11" t="s">
        <v>310</v>
      </c>
      <c r="BL11" t="str">
        <f>"1000 4th ST SW"</f>
        <v>1000 4th ST SW</v>
      </c>
      <c r="BM11" t="str">
        <f>""</f>
        <v/>
      </c>
      <c r="BN11" t="str">
        <f>"Mason City"</f>
        <v>Mason City</v>
      </c>
      <c r="BO11" t="s">
        <v>311</v>
      </c>
      <c r="BP11" t="s">
        <v>312</v>
      </c>
      <c r="BQ11" s="7" t="str">
        <f>"50401"</f>
        <v>50401</v>
      </c>
      <c r="BR11" t="s">
        <v>82</v>
      </c>
      <c r="BS11" t="str">
        <f>""</f>
        <v/>
      </c>
    </row>
    <row r="12" spans="1:79" ht="15" customHeight="1" x14ac:dyDescent="0.25">
      <c r="A12" t="s">
        <v>305</v>
      </c>
      <c r="B12" t="s">
        <v>80</v>
      </c>
      <c r="C12" s="1">
        <v>43598</v>
      </c>
      <c r="G12" s="1">
        <v>45617</v>
      </c>
      <c r="H12" t="s">
        <v>81</v>
      </c>
      <c r="I12" t="str">
        <f>"Chavez"</f>
        <v>Chavez</v>
      </c>
      <c r="J12" t="str">
        <f>"Noel"</f>
        <v>Noel</v>
      </c>
      <c r="K12" t="str">
        <f>"4075975(lily)"</f>
        <v>4075975(lily)</v>
      </c>
      <c r="L12" t="str">
        <f>"Attorney"</f>
        <v>Attorney</v>
      </c>
      <c r="M12" t="str">
        <f>"555 MONTGOMERY STREET"</f>
        <v>555 MONTGOMERY STREET</v>
      </c>
      <c r="N12" t="str">
        <f>"4TH FLOOR"</f>
        <v>4TH FLOOR</v>
      </c>
      <c r="O12" t="str">
        <f>"SAN FRANCISCO"</f>
        <v>SAN FRANCISCO</v>
      </c>
      <c r="P12" t="str">
        <f>"CA"</f>
        <v>CA</v>
      </c>
      <c r="Q12" s="7" t="str">
        <f>"94111"</f>
        <v>94111</v>
      </c>
      <c r="R12" t="str">
        <f t="shared" si="0"/>
        <v>UNITED STATES OF AMERICA</v>
      </c>
      <c r="S12" t="str">
        <f>"N/A"</f>
        <v>N/A</v>
      </c>
      <c r="T12" s="7" t="str">
        <f>"415-986-1446"</f>
        <v>415-986-1446</v>
      </c>
      <c r="U12" t="str">
        <f>""</f>
        <v/>
      </c>
      <c r="V12" s="9" t="str">
        <f>"415-986-7964"</f>
        <v>415-986-7964</v>
      </c>
      <c r="W12" t="str">
        <f>"apple-usimm@fragomen.com"</f>
        <v>apple-usimm@fragomen.com</v>
      </c>
      <c r="X12" t="str">
        <f>"APPLE INC."</f>
        <v>APPLE INC.</v>
      </c>
      <c r="Y12" t="str">
        <f>"N/A"</f>
        <v>N/A</v>
      </c>
      <c r="Z12" t="str">
        <f>"1 APPLE PARK WAY"</f>
        <v>1 APPLE PARK WAY</v>
      </c>
      <c r="AA12" t="str">
        <f>"N/A"</f>
        <v>N/A</v>
      </c>
      <c r="AB12" t="str">
        <f>"CUPERTINO"</f>
        <v>CUPERTINO</v>
      </c>
      <c r="AC12" t="str">
        <f>"CA"</f>
        <v>CA</v>
      </c>
      <c r="AD12" s="7" t="str">
        <f>"95014"</f>
        <v>95014</v>
      </c>
      <c r="AE12" t="str">
        <f t="shared" si="1"/>
        <v>UNITED STATES OF AMERICA</v>
      </c>
      <c r="AF12" t="str">
        <f>""</f>
        <v/>
      </c>
      <c r="AG12" s="9" t="str">
        <f>"408-974-2562"</f>
        <v>408-974-2562</v>
      </c>
      <c r="AH12" t="str">
        <f>""</f>
        <v/>
      </c>
      <c r="AI12" t="str">
        <f>"942404110"</f>
        <v>942404110</v>
      </c>
      <c r="AJ12" t="str">
        <f>"334111"</f>
        <v>334111</v>
      </c>
      <c r="AK12" t="s">
        <v>83</v>
      </c>
      <c r="AL12" t="s">
        <v>83</v>
      </c>
      <c r="AM12" t="s">
        <v>84</v>
      </c>
      <c r="AN12" t="s">
        <v>83</v>
      </c>
      <c r="AQ12" t="str">
        <f>"ASIC Design Engineer"</f>
        <v>ASIC Design Engineer</v>
      </c>
      <c r="AR12" t="str">
        <f>"17-2072"</f>
        <v>17-2072</v>
      </c>
      <c r="AS12" t="str">
        <f>"Electronics Engineers, Except Computer"</f>
        <v>Electronics Engineers, Except Computer</v>
      </c>
      <c r="AT12" t="str">
        <f>"Senior Design Verification Manager"</f>
        <v>Senior Design Verification Manager</v>
      </c>
      <c r="AU12" t="s">
        <v>83</v>
      </c>
      <c r="AV12" t="str">
        <f>""</f>
        <v/>
      </c>
      <c r="AW12" t="str">
        <f>"None"</f>
        <v>None</v>
      </c>
      <c r="AX12" t="s">
        <v>83</v>
      </c>
      <c r="AY12" t="str">
        <f>""</f>
        <v/>
      </c>
      <c r="AZ12" t="s">
        <v>93</v>
      </c>
      <c r="BB12" t="s">
        <v>306</v>
      </c>
      <c r="BC12" t="s">
        <v>83</v>
      </c>
      <c r="BE12" t="s">
        <v>83</v>
      </c>
      <c r="BH12" t="s">
        <v>82</v>
      </c>
      <c r="BI12">
        <v>24</v>
      </c>
      <c r="BJ12" t="s">
        <v>307</v>
      </c>
      <c r="BK12" t="s">
        <v>306</v>
      </c>
      <c r="BL12" t="str">
        <f>"1 Apple Park Way"</f>
        <v>1 Apple Park Way</v>
      </c>
      <c r="BM12" t="str">
        <f>""</f>
        <v/>
      </c>
      <c r="BN12" t="str">
        <f>"Cupertino"</f>
        <v>Cupertino</v>
      </c>
      <c r="BO12" t="s">
        <v>181</v>
      </c>
      <c r="BP12" t="s">
        <v>153</v>
      </c>
      <c r="BQ12" s="7" t="str">
        <f>"95014"</f>
        <v>95014</v>
      </c>
      <c r="BR12" t="s">
        <v>83</v>
      </c>
      <c r="BS12" t="str">
        <f>""</f>
        <v/>
      </c>
    </row>
    <row r="13" spans="1:79" ht="15" customHeight="1" x14ac:dyDescent="0.25">
      <c r="A13" t="s">
        <v>299</v>
      </c>
      <c r="B13" t="s">
        <v>80</v>
      </c>
      <c r="C13" s="1">
        <v>43592</v>
      </c>
      <c r="G13" s="1">
        <v>45617</v>
      </c>
      <c r="H13" t="s">
        <v>81</v>
      </c>
      <c r="I13" t="str">
        <f>"MICHAELS"</f>
        <v>MICHAELS</v>
      </c>
      <c r="J13" t="str">
        <f>"REBECCA"</f>
        <v>REBECCA</v>
      </c>
      <c r="K13" t="str">
        <f>"F."</f>
        <v>F.</v>
      </c>
      <c r="L13" t="str">
        <f>"SENIOR ATTORNEY"</f>
        <v>SENIOR ATTORNEY</v>
      </c>
      <c r="M13" t="str">
        <f>"22 ADELAIDE STREET WEST"</f>
        <v>22 ADELAIDE STREET WEST</v>
      </c>
      <c r="N13" t="str">
        <f>"9TH FLOOR"</f>
        <v>9TH FLOOR</v>
      </c>
      <c r="O13" t="str">
        <f>"TORONTO"</f>
        <v>TORONTO</v>
      </c>
      <c r="P13" t="str">
        <f>""</f>
        <v/>
      </c>
      <c r="Q13" s="7" t="str">
        <f>"M5H 4E3"</f>
        <v>M5H 4E3</v>
      </c>
      <c r="R13" t="str">
        <f>"CANADA"</f>
        <v>CANADA</v>
      </c>
      <c r="S13" t="str">
        <f>"ONTARIO"</f>
        <v>ONTARIO</v>
      </c>
      <c r="T13" s="7" t="str">
        <f>"416-363-1234"</f>
        <v>416-363-1234</v>
      </c>
      <c r="U13" t="str">
        <f>""</f>
        <v/>
      </c>
      <c r="V13" s="9" t="str">
        <f>"416-363-8760"</f>
        <v>416-363-8760</v>
      </c>
      <c r="W13" t="str">
        <f>"RMICHAELS@GGILAW.COM"</f>
        <v>RMICHAELS@GGILAW.COM</v>
      </c>
      <c r="X13" t="str">
        <f>"DELOITTE TOUCHE TOHMATSU SERVICES INC"</f>
        <v>DELOITTE TOUCHE TOHMATSU SERVICES INC</v>
      </c>
      <c r="Y13" t="str">
        <f>""</f>
        <v/>
      </c>
      <c r="Z13" t="str">
        <f>"1221 AVENUE OF THE AMERICAS"</f>
        <v>1221 AVENUE OF THE AMERICAS</v>
      </c>
      <c r="AA13" t="str">
        <f>""</f>
        <v/>
      </c>
      <c r="AB13" t="str">
        <f>"NEW YORK"</f>
        <v>NEW YORK</v>
      </c>
      <c r="AC13" t="str">
        <f>"NY"</f>
        <v>NY</v>
      </c>
      <c r="AD13" s="7" t="str">
        <f>"10020"</f>
        <v>10020</v>
      </c>
      <c r="AE13" t="str">
        <f t="shared" si="1"/>
        <v>UNITED STATES OF AMERICA</v>
      </c>
      <c r="AF13" t="str">
        <f>""</f>
        <v/>
      </c>
      <c r="AG13" s="9" t="str">
        <f>"215-789-6319"</f>
        <v>215-789-6319</v>
      </c>
      <c r="AH13" t="str">
        <f>""</f>
        <v/>
      </c>
      <c r="AI13" t="str">
        <f>"133086681"</f>
        <v>133086681</v>
      </c>
      <c r="AJ13" t="str">
        <f>"54121"</f>
        <v>54121</v>
      </c>
      <c r="AK13" t="s">
        <v>83</v>
      </c>
      <c r="AL13" t="s">
        <v>83</v>
      </c>
      <c r="AM13" t="s">
        <v>84</v>
      </c>
      <c r="AN13" t="s">
        <v>83</v>
      </c>
      <c r="AQ13" t="str">
        <f>"Senior Manager, Engagement, Agile Coach"</f>
        <v>Senior Manager, Engagement, Agile Coach</v>
      </c>
      <c r="AR13" t="str">
        <f>"15-1132"</f>
        <v>15-1132</v>
      </c>
      <c r="AS13" t="str">
        <f>"Software Developers, Applications"</f>
        <v>Software Developers, Applications</v>
      </c>
      <c r="AT13" t="str">
        <f>"Managing Director"</f>
        <v>Managing Director</v>
      </c>
      <c r="AU13" t="s">
        <v>82</v>
      </c>
      <c r="AV13" t="str">
        <f>"3"</f>
        <v>3</v>
      </c>
      <c r="AW13" t="str">
        <f>"Subordinate"</f>
        <v>Subordinate</v>
      </c>
      <c r="AX13" t="s">
        <v>83</v>
      </c>
      <c r="AY13" t="str">
        <f>""</f>
        <v/>
      </c>
      <c r="AZ13" t="s">
        <v>107</v>
      </c>
      <c r="BA13" t="s">
        <v>84</v>
      </c>
      <c r="BB13" t="s">
        <v>300</v>
      </c>
      <c r="BC13" t="s">
        <v>83</v>
      </c>
      <c r="BE13" t="s">
        <v>83</v>
      </c>
      <c r="BH13" t="s">
        <v>82</v>
      </c>
      <c r="BI13">
        <v>72</v>
      </c>
      <c r="BJ13" t="s">
        <v>301</v>
      </c>
      <c r="BK13" s="2" t="s">
        <v>302</v>
      </c>
      <c r="BL13" t="str">
        <f>"500 College Road East"</f>
        <v>500 College Road East</v>
      </c>
      <c r="BM13" t="str">
        <f>""</f>
        <v/>
      </c>
      <c r="BN13" t="str">
        <f>"Princeton"</f>
        <v>Princeton</v>
      </c>
      <c r="BO13" t="s">
        <v>303</v>
      </c>
      <c r="BP13" t="s">
        <v>304</v>
      </c>
      <c r="BQ13" s="7" t="str">
        <f>"08540"</f>
        <v>08540</v>
      </c>
      <c r="BR13" t="s">
        <v>83</v>
      </c>
      <c r="BS13" t="str">
        <f>""</f>
        <v/>
      </c>
    </row>
    <row r="14" spans="1:79" ht="15" customHeight="1" x14ac:dyDescent="0.25">
      <c r="A14" t="s">
        <v>295</v>
      </c>
      <c r="B14" t="s">
        <v>80</v>
      </c>
      <c r="C14" s="1">
        <v>43586</v>
      </c>
      <c r="G14" s="1">
        <v>45617</v>
      </c>
      <c r="H14" t="s">
        <v>81</v>
      </c>
      <c r="I14" t="str">
        <f>"CAO"</f>
        <v>CAO</v>
      </c>
      <c r="J14" t="str">
        <f>"YING"</f>
        <v>YING</v>
      </c>
      <c r="K14" t="str">
        <f>"N/A"</f>
        <v>N/A</v>
      </c>
      <c r="L14" t="str">
        <f>"Managing Partner"</f>
        <v>Managing Partner</v>
      </c>
      <c r="M14" t="str">
        <f>"51 JFK PKWY, FIRST FLOOR WEST"</f>
        <v>51 JFK PKWY, FIRST FLOOR WEST</v>
      </c>
      <c r="N14" t="str">
        <f>""</f>
        <v/>
      </c>
      <c r="O14" t="str">
        <f>"SHORT HILLS"</f>
        <v>SHORT HILLS</v>
      </c>
      <c r="P14" t="str">
        <f>"NJ"</f>
        <v>NJ</v>
      </c>
      <c r="Q14" s="7" t="str">
        <f>"07078"</f>
        <v>07078</v>
      </c>
      <c r="R14" t="str">
        <f t="shared" ref="R14:R45" si="2">"UNITED STATES OF AMERICA"</f>
        <v>UNITED STATES OF AMERICA</v>
      </c>
      <c r="S14" t="str">
        <f>""</f>
        <v/>
      </c>
      <c r="T14" s="7" t="str">
        <f>"973-310-1688"</f>
        <v>973-310-1688</v>
      </c>
      <c r="U14" t="str">
        <f>""</f>
        <v/>
      </c>
      <c r="V14" s="9" t="str">
        <f>""</f>
        <v/>
      </c>
      <c r="W14" t="str">
        <f>"YCAO@YCLAWLLC.COM"</f>
        <v>YCAO@YCLAWLLC.COM</v>
      </c>
      <c r="X14" t="str">
        <f>"iTalenta, Inc."</f>
        <v>iTalenta, Inc.</v>
      </c>
      <c r="Y14" t="str">
        <f>""</f>
        <v/>
      </c>
      <c r="Z14" t="str">
        <f>"6000 Fairview Road"</f>
        <v>6000 Fairview Road</v>
      </c>
      <c r="AA14" t="str">
        <f>"Suite 1200"</f>
        <v>Suite 1200</v>
      </c>
      <c r="AB14" t="str">
        <f>"Charlotte"</f>
        <v>Charlotte</v>
      </c>
      <c r="AC14" t="str">
        <f>"NC"</f>
        <v>NC</v>
      </c>
      <c r="AD14" s="7" t="str">
        <f>"28210"</f>
        <v>28210</v>
      </c>
      <c r="AE14" t="str">
        <f t="shared" si="1"/>
        <v>UNITED STATES OF AMERICA</v>
      </c>
      <c r="AF14" t="str">
        <f>""</f>
        <v/>
      </c>
      <c r="AG14" s="9" t="str">
        <f>"732-642-5348"</f>
        <v>732-642-5348</v>
      </c>
      <c r="AH14" t="str">
        <f>""</f>
        <v/>
      </c>
      <c r="AI14" t="str">
        <f>"812924120"</f>
        <v>812924120</v>
      </c>
      <c r="AJ14" t="str">
        <f>"541511"</f>
        <v>541511</v>
      </c>
      <c r="AK14" t="s">
        <v>83</v>
      </c>
      <c r="AL14" t="s">
        <v>83</v>
      </c>
      <c r="AM14" t="s">
        <v>84</v>
      </c>
      <c r="AN14" t="s">
        <v>83</v>
      </c>
      <c r="AQ14" t="str">
        <f>"Mechanical Process Engineer"</f>
        <v>Mechanical Process Engineer</v>
      </c>
      <c r="AR14" t="str">
        <f>"17-2144"</f>
        <v>17-2144</v>
      </c>
      <c r="AS14" t="str">
        <f>"Mechanical Engineers, R&amp;D"</f>
        <v>Mechanical Engineers, R&amp;D</v>
      </c>
      <c r="AT14" t="str">
        <f>"Research and Development Manager"</f>
        <v>Research and Development Manager</v>
      </c>
      <c r="AU14" t="s">
        <v>82</v>
      </c>
      <c r="AV14" t="str">
        <f>"1"</f>
        <v>1</v>
      </c>
      <c r="AW14" t="str">
        <f>"Subordinate"</f>
        <v>Subordinate</v>
      </c>
      <c r="AX14" t="s">
        <v>83</v>
      </c>
      <c r="AY14" t="str">
        <f>""</f>
        <v/>
      </c>
      <c r="AZ14" t="s">
        <v>93</v>
      </c>
      <c r="BB14" t="s">
        <v>296</v>
      </c>
      <c r="BC14" t="s">
        <v>83</v>
      </c>
      <c r="BE14" t="s">
        <v>83</v>
      </c>
      <c r="BH14" t="s">
        <v>82</v>
      </c>
      <c r="BI14">
        <v>12</v>
      </c>
      <c r="BJ14" t="s">
        <v>297</v>
      </c>
      <c r="BK14" t="s">
        <v>298</v>
      </c>
      <c r="BL14" t="str">
        <f>"10200 E Girard Avenue Buliding B"</f>
        <v>10200 E Girard Avenue Buliding B</v>
      </c>
      <c r="BM14" t="str">
        <f>"Suite 229"</f>
        <v>Suite 229</v>
      </c>
      <c r="BN14" t="str">
        <f>"Denver"</f>
        <v>Denver</v>
      </c>
      <c r="BO14" t="s">
        <v>97</v>
      </c>
      <c r="BP14" t="s">
        <v>98</v>
      </c>
      <c r="BQ14" s="7" t="str">
        <f>"80231"</f>
        <v>80231</v>
      </c>
      <c r="BR14" t="s">
        <v>83</v>
      </c>
      <c r="BS14" t="str">
        <f>""</f>
        <v/>
      </c>
    </row>
    <row r="15" spans="1:79" ht="15" customHeight="1" x14ac:dyDescent="0.25">
      <c r="A15" t="s">
        <v>278</v>
      </c>
      <c r="B15" t="s">
        <v>80</v>
      </c>
      <c r="C15" s="1">
        <v>43585</v>
      </c>
      <c r="G15" s="1">
        <v>45617</v>
      </c>
      <c r="H15" t="s">
        <v>81</v>
      </c>
      <c r="I15" t="str">
        <f>"JABALLAS"</f>
        <v>JABALLAS</v>
      </c>
      <c r="J15" t="str">
        <f>"RODERICK"</f>
        <v>RODERICK</v>
      </c>
      <c r="K15" t="str">
        <f>"ROSCA"</f>
        <v>ROSCA</v>
      </c>
      <c r="L15" t="str">
        <f>"ATTORNEY"</f>
        <v>ATTORNEY</v>
      </c>
      <c r="M15" t="str">
        <f>"3924 CLOCK POINTE TRAIL, SUITE 103"</f>
        <v>3924 CLOCK POINTE TRAIL, SUITE 103</v>
      </c>
      <c r="N15" t="str">
        <f>"N/A"</f>
        <v>N/A</v>
      </c>
      <c r="O15" t="str">
        <f>"STOW"</f>
        <v>STOW</v>
      </c>
      <c r="P15" t="str">
        <f>"OH"</f>
        <v>OH</v>
      </c>
      <c r="Q15" s="7" t="str">
        <f>"44224"</f>
        <v>44224</v>
      </c>
      <c r="R15" t="str">
        <f t="shared" si="2"/>
        <v>UNITED STATES OF AMERICA</v>
      </c>
      <c r="S15" t="str">
        <f>"N/A"</f>
        <v>N/A</v>
      </c>
      <c r="T15" s="7" t="str">
        <f>"330-762-2448"</f>
        <v>330-762-2448</v>
      </c>
      <c r="U15" t="str">
        <f>""</f>
        <v/>
      </c>
      <c r="V15" s="9" t="str">
        <f>""</f>
        <v/>
      </c>
      <c r="W15" t="str">
        <f>"RODJABALLAS@AOL.COM"</f>
        <v>RODJABALLAS@AOL.COM</v>
      </c>
      <c r="X15" t="str">
        <f>"Jacobs Technology Inc."</f>
        <v>Jacobs Technology Inc.</v>
      </c>
      <c r="Y15" t="str">
        <f>"Jacobs"</f>
        <v>Jacobs</v>
      </c>
      <c r="Z15" t="str">
        <f>"600 William Northern Boulevard"</f>
        <v>600 William Northern Boulevard</v>
      </c>
      <c r="AA15" t="str">
        <f>"N/A"</f>
        <v>N/A</v>
      </c>
      <c r="AB15" t="str">
        <f>"Tullahoma"</f>
        <v>Tullahoma</v>
      </c>
      <c r="AC15" t="str">
        <f>"TN"</f>
        <v>TN</v>
      </c>
      <c r="AD15" s="7" t="str">
        <f>"37388"</f>
        <v>37388</v>
      </c>
      <c r="AE15" t="str">
        <f t="shared" si="1"/>
        <v>UNITED STATES OF AMERICA</v>
      </c>
      <c r="AF15" t="str">
        <f>"N/A"</f>
        <v>N/A</v>
      </c>
      <c r="AG15" s="9" t="str">
        <f>"931-455-6400"</f>
        <v>931-455-6400</v>
      </c>
      <c r="AH15" t="str">
        <f>""</f>
        <v/>
      </c>
      <c r="AI15" t="str">
        <f>"620510412"</f>
        <v>620510412</v>
      </c>
      <c r="AJ15" t="str">
        <f>"541330"</f>
        <v>541330</v>
      </c>
      <c r="AK15" t="s">
        <v>83</v>
      </c>
      <c r="AL15" t="s">
        <v>83</v>
      </c>
      <c r="AM15" t="s">
        <v>84</v>
      </c>
      <c r="AN15" t="s">
        <v>83</v>
      </c>
      <c r="AQ15" t="str">
        <f>"Engineer IV"</f>
        <v>Engineer IV</v>
      </c>
      <c r="AR15" t="str">
        <f>"17-2081"</f>
        <v>17-2081</v>
      </c>
      <c r="AS15" t="str">
        <f>"Environmental Engineers"</f>
        <v>Environmental Engineers</v>
      </c>
      <c r="AT15" t="str">
        <f>"Department Manager (Engineering Specialist II)"</f>
        <v>Department Manager (Engineering Specialist II)</v>
      </c>
      <c r="AU15" t="s">
        <v>82</v>
      </c>
      <c r="AV15" t="str">
        <f>"9"</f>
        <v>9</v>
      </c>
      <c r="AW15" t="str">
        <f>"Subordinate"</f>
        <v>Subordinate</v>
      </c>
      <c r="AX15" t="s">
        <v>82</v>
      </c>
      <c r="AY15" t="str">
        <f>"Travel to unanticipated locations as normal to the occupation."</f>
        <v>Travel to unanticipated locations as normal to the occupation.</v>
      </c>
      <c r="AZ15" t="s">
        <v>107</v>
      </c>
      <c r="BA15" t="s">
        <v>84</v>
      </c>
      <c r="BB15" t="s">
        <v>279</v>
      </c>
      <c r="BC15" t="s">
        <v>83</v>
      </c>
      <c r="BE15" t="s">
        <v>83</v>
      </c>
      <c r="BH15" t="s">
        <v>82</v>
      </c>
      <c r="BI15">
        <v>60</v>
      </c>
      <c r="BJ15" t="s">
        <v>280</v>
      </c>
      <c r="BK15" s="2" t="s">
        <v>281</v>
      </c>
      <c r="BL15" t="str">
        <f>"109 TW Alexander Drive, Research Triangle Park"</f>
        <v>109 TW Alexander Drive, Research Triangle Park</v>
      </c>
      <c r="BM15" t="str">
        <f>"N/A"</f>
        <v>N/A</v>
      </c>
      <c r="BN15" t="str">
        <f>"Durham"</f>
        <v>Durham</v>
      </c>
      <c r="BO15" t="s">
        <v>282</v>
      </c>
      <c r="BP15" t="s">
        <v>283</v>
      </c>
      <c r="BQ15" s="7" t="str">
        <f>"27711"</f>
        <v>27711</v>
      </c>
      <c r="BR15" t="s">
        <v>83</v>
      </c>
      <c r="BS15" t="str">
        <f>""</f>
        <v/>
      </c>
    </row>
    <row r="16" spans="1:79" ht="15" customHeight="1" x14ac:dyDescent="0.25">
      <c r="A16" t="s">
        <v>284</v>
      </c>
      <c r="B16" t="s">
        <v>80</v>
      </c>
      <c r="C16" s="1">
        <v>43585</v>
      </c>
      <c r="G16" s="1">
        <v>45617</v>
      </c>
      <c r="H16" t="s">
        <v>81</v>
      </c>
      <c r="I16" t="str">
        <f>"ORDONEZ"</f>
        <v>ORDONEZ</v>
      </c>
      <c r="J16" t="str">
        <f>"Katie"</f>
        <v>Katie</v>
      </c>
      <c r="K16" t="str">
        <f>"Anne"</f>
        <v>Anne</v>
      </c>
      <c r="L16" t="str">
        <f>"Paralegal for Attorney Pamela Genise"</f>
        <v>Paralegal for Attorney Pamela Genise</v>
      </c>
      <c r="M16" t="str">
        <f>"10451 MILL RUN CIRCLE"</f>
        <v>10451 MILL RUN CIRCLE</v>
      </c>
      <c r="N16" t="str">
        <f>"SUITE 100"</f>
        <v>SUITE 100</v>
      </c>
      <c r="O16" t="str">
        <f>"OWINGS MILLS"</f>
        <v>OWINGS MILLS</v>
      </c>
      <c r="P16" t="str">
        <f>"MD"</f>
        <v>MD</v>
      </c>
      <c r="Q16" s="7" t="str">
        <f>"21117"</f>
        <v>21117</v>
      </c>
      <c r="R16" t="str">
        <f t="shared" si="2"/>
        <v>UNITED STATES OF AMERICA</v>
      </c>
      <c r="S16" t="str">
        <f>""</f>
        <v/>
      </c>
      <c r="T16" s="7" t="str">
        <f>"410-356-5440"</f>
        <v>410-356-5440</v>
      </c>
      <c r="U16" t="str">
        <f>""</f>
        <v/>
      </c>
      <c r="V16" s="9" t="str">
        <f>"410-356-5669"</f>
        <v>410-356-5669</v>
      </c>
      <c r="W16" t="str">
        <f>"KATIEO@MURTHY.COM"</f>
        <v>KATIEO@MURTHY.COM</v>
      </c>
      <c r="X16" t="str">
        <f>"MICROSOFT CORPORATION"</f>
        <v>MICROSOFT CORPORATION</v>
      </c>
      <c r="Y16" t="str">
        <f>"N/A"</f>
        <v>N/A</v>
      </c>
      <c r="Z16" t="str">
        <f>"ONE MICROSOFT WAY"</f>
        <v>ONE MICROSOFT WAY</v>
      </c>
      <c r="AA16" t="str">
        <f>"N/A"</f>
        <v>N/A</v>
      </c>
      <c r="AB16" t="str">
        <f>"REMOND"</f>
        <v>REMOND</v>
      </c>
      <c r="AC16" t="str">
        <f>"WA"</f>
        <v>WA</v>
      </c>
      <c r="AD16" s="7" t="str">
        <f>"98052"</f>
        <v>98052</v>
      </c>
      <c r="AE16" t="str">
        <f t="shared" si="1"/>
        <v>UNITED STATES OF AMERICA</v>
      </c>
      <c r="AF16" t="str">
        <f>""</f>
        <v/>
      </c>
      <c r="AG16" s="9" t="str">
        <f>"425-706-7916"</f>
        <v>425-706-7916</v>
      </c>
      <c r="AH16" t="str">
        <f>""</f>
        <v/>
      </c>
      <c r="AI16" t="str">
        <f>"911144442"</f>
        <v>911144442</v>
      </c>
      <c r="AJ16" t="str">
        <f>"511210"</f>
        <v>511210</v>
      </c>
      <c r="AK16" t="s">
        <v>83</v>
      </c>
      <c r="AL16" t="s">
        <v>83</v>
      </c>
      <c r="AM16" t="s">
        <v>84</v>
      </c>
      <c r="AN16" t="s">
        <v>83</v>
      </c>
      <c r="AQ16" t="str">
        <f>"PROGRAM MANAGER 2"</f>
        <v>PROGRAM MANAGER 2</v>
      </c>
      <c r="AR16" t="str">
        <f>"15-1132"</f>
        <v>15-1132</v>
      </c>
      <c r="AS16" t="str">
        <f>"Software Developers, Applications"</f>
        <v>Software Developers, Applications</v>
      </c>
      <c r="AT16" t="str">
        <f>"Principal GPM"</f>
        <v>Principal GPM</v>
      </c>
      <c r="AU16" t="s">
        <v>83</v>
      </c>
      <c r="AV16" t="str">
        <f>""</f>
        <v/>
      </c>
      <c r="AW16" t="str">
        <f>"None"</f>
        <v>None</v>
      </c>
      <c r="AX16" t="s">
        <v>83</v>
      </c>
      <c r="AY16" t="str">
        <f>""</f>
        <v/>
      </c>
      <c r="AZ16" t="s">
        <v>107</v>
      </c>
      <c r="BB16" t="s">
        <v>285</v>
      </c>
      <c r="BC16" t="s">
        <v>83</v>
      </c>
      <c r="BE16" t="s">
        <v>83</v>
      </c>
      <c r="BH16" t="s">
        <v>82</v>
      </c>
      <c r="BI16">
        <v>60</v>
      </c>
      <c r="BJ16" t="s">
        <v>286</v>
      </c>
      <c r="BK16" t="s">
        <v>287</v>
      </c>
      <c r="BL16" t="str">
        <f>"ONE MICROSOFT WAY"</f>
        <v>ONE MICROSOFT WAY</v>
      </c>
      <c r="BM16" t="str">
        <f>""</f>
        <v/>
      </c>
      <c r="BN16" t="str">
        <f>"REDMOND"</f>
        <v>REDMOND</v>
      </c>
      <c r="BO16" t="s">
        <v>219</v>
      </c>
      <c r="BP16" t="s">
        <v>220</v>
      </c>
      <c r="BQ16" s="7" t="str">
        <f>"98052"</f>
        <v>98052</v>
      </c>
      <c r="BR16" t="s">
        <v>83</v>
      </c>
      <c r="BS16" t="str">
        <f>""</f>
        <v/>
      </c>
    </row>
    <row r="17" spans="1:71" ht="15" customHeight="1" x14ac:dyDescent="0.25">
      <c r="A17" t="s">
        <v>288</v>
      </c>
      <c r="B17" t="s">
        <v>80</v>
      </c>
      <c r="C17" s="1">
        <v>43585</v>
      </c>
      <c r="G17" s="1">
        <v>45617</v>
      </c>
      <c r="H17" t="s">
        <v>81</v>
      </c>
      <c r="I17" t="str">
        <f>"ORDONEZ"</f>
        <v>ORDONEZ</v>
      </c>
      <c r="J17" t="str">
        <f>"Katie"</f>
        <v>Katie</v>
      </c>
      <c r="K17" t="str">
        <f>"Anne"</f>
        <v>Anne</v>
      </c>
      <c r="L17" t="str">
        <f>"Paralegal for Attorney Pamela Genise"</f>
        <v>Paralegal for Attorney Pamela Genise</v>
      </c>
      <c r="M17" t="str">
        <f>"Murthy Law Firm, 10451 MILL RUN CIRCLE"</f>
        <v>Murthy Law Firm, 10451 MILL RUN CIRCLE</v>
      </c>
      <c r="N17" t="str">
        <f>"SUITE 100"</f>
        <v>SUITE 100</v>
      </c>
      <c r="O17" t="str">
        <f>"OWINGS MILLS"</f>
        <v>OWINGS MILLS</v>
      </c>
      <c r="P17" t="str">
        <f>"MD"</f>
        <v>MD</v>
      </c>
      <c r="Q17" s="7" t="str">
        <f>"21117"</f>
        <v>21117</v>
      </c>
      <c r="R17" t="str">
        <f t="shared" si="2"/>
        <v>UNITED STATES OF AMERICA</v>
      </c>
      <c r="S17" t="str">
        <f>""</f>
        <v/>
      </c>
      <c r="T17" s="7" t="str">
        <f>"410-356-5440"</f>
        <v>410-356-5440</v>
      </c>
      <c r="U17" t="str">
        <f>"254"</f>
        <v>254</v>
      </c>
      <c r="V17" s="9" t="str">
        <f>"410-356-5669"</f>
        <v>410-356-5669</v>
      </c>
      <c r="W17" t="str">
        <f>"KatieO@MURTHY.COM"</f>
        <v>KatieO@MURTHY.COM</v>
      </c>
      <c r="X17" t="str">
        <f>"Microsoft Corporation"</f>
        <v>Microsoft Corporation</v>
      </c>
      <c r="Y17" t="str">
        <f>""</f>
        <v/>
      </c>
      <c r="Z17" t="str">
        <f>"One Microsoft Way"</f>
        <v>One Microsoft Way</v>
      </c>
      <c r="AA17" t="str">
        <f>""</f>
        <v/>
      </c>
      <c r="AB17" t="str">
        <f>"Redmond"</f>
        <v>Redmond</v>
      </c>
      <c r="AC17" t="str">
        <f>"WA"</f>
        <v>WA</v>
      </c>
      <c r="AD17" s="7" t="str">
        <f>"98052"</f>
        <v>98052</v>
      </c>
      <c r="AE17" t="str">
        <f t="shared" si="1"/>
        <v>UNITED STATES OF AMERICA</v>
      </c>
      <c r="AF17" t="str">
        <f>""</f>
        <v/>
      </c>
      <c r="AG17" s="9" t="str">
        <f>"425-706-7916"</f>
        <v>425-706-7916</v>
      </c>
      <c r="AH17" t="str">
        <f>""</f>
        <v/>
      </c>
      <c r="AI17" t="str">
        <f>"911144442"</f>
        <v>911144442</v>
      </c>
      <c r="AJ17" t="str">
        <f>"511210"</f>
        <v>511210</v>
      </c>
      <c r="AK17" t="s">
        <v>83</v>
      </c>
      <c r="AL17" t="s">
        <v>83</v>
      </c>
      <c r="AM17" t="s">
        <v>84</v>
      </c>
      <c r="AN17" t="s">
        <v>83</v>
      </c>
      <c r="AQ17" t="str">
        <f>"Program Manager"</f>
        <v>Program Manager</v>
      </c>
      <c r="AR17" t="str">
        <f>"15-1132"</f>
        <v>15-1132</v>
      </c>
      <c r="AS17" t="str">
        <f>"Software Developers, Applications"</f>
        <v>Software Developers, Applications</v>
      </c>
      <c r="AT17" t="str">
        <f>"Senior Program Manager Lead"</f>
        <v>Senior Program Manager Lead</v>
      </c>
      <c r="AU17" t="s">
        <v>83</v>
      </c>
      <c r="AV17" t="str">
        <f>""</f>
        <v/>
      </c>
      <c r="AW17" t="str">
        <f>"None"</f>
        <v>None</v>
      </c>
      <c r="AX17" t="s">
        <v>83</v>
      </c>
      <c r="AY17" t="str">
        <f>""</f>
        <v/>
      </c>
      <c r="AZ17" t="s">
        <v>93</v>
      </c>
      <c r="BB17" t="s">
        <v>289</v>
      </c>
      <c r="BC17" t="s">
        <v>83</v>
      </c>
      <c r="BE17" t="s">
        <v>83</v>
      </c>
      <c r="BH17" t="s">
        <v>82</v>
      </c>
      <c r="BI17">
        <v>24</v>
      </c>
      <c r="BJ17" t="s">
        <v>290</v>
      </c>
      <c r="BK17" t="s">
        <v>291</v>
      </c>
      <c r="BL17" t="str">
        <f>"One Microsoft Way"</f>
        <v>One Microsoft Way</v>
      </c>
      <c r="BM17" t="str">
        <f>""</f>
        <v/>
      </c>
      <c r="BN17" t="str">
        <f>"Redmond"</f>
        <v>Redmond</v>
      </c>
      <c r="BO17" t="s">
        <v>219</v>
      </c>
      <c r="BP17" t="s">
        <v>220</v>
      </c>
      <c r="BQ17" s="7" t="str">
        <f>"98052"</f>
        <v>98052</v>
      </c>
      <c r="BR17" t="s">
        <v>83</v>
      </c>
      <c r="BS17" t="str">
        <f>""</f>
        <v/>
      </c>
    </row>
    <row r="18" spans="1:71" ht="15" customHeight="1" x14ac:dyDescent="0.25">
      <c r="A18" t="s">
        <v>292</v>
      </c>
      <c r="B18" t="s">
        <v>80</v>
      </c>
      <c r="C18" s="1">
        <v>43585</v>
      </c>
      <c r="G18" s="1">
        <v>45617</v>
      </c>
      <c r="H18" t="s">
        <v>81</v>
      </c>
      <c r="I18" t="str">
        <f>"ORDONEZ"</f>
        <v>ORDONEZ</v>
      </c>
      <c r="J18" t="str">
        <f>"Katie"</f>
        <v>Katie</v>
      </c>
      <c r="K18" t="str">
        <f>"Anne"</f>
        <v>Anne</v>
      </c>
      <c r="L18" t="str">
        <f>"Paralegal for Atty. Pamela Genise"</f>
        <v>Paralegal for Atty. Pamela Genise</v>
      </c>
      <c r="M18" t="str">
        <f>"10451 MILL RUN CIRCLE"</f>
        <v>10451 MILL RUN CIRCLE</v>
      </c>
      <c r="N18" t="str">
        <f>"SUITE 100"</f>
        <v>SUITE 100</v>
      </c>
      <c r="O18" t="str">
        <f>"OWINGS MILLS"</f>
        <v>OWINGS MILLS</v>
      </c>
      <c r="P18" t="str">
        <f>"MD"</f>
        <v>MD</v>
      </c>
      <c r="Q18" s="7" t="str">
        <f>"21117"</f>
        <v>21117</v>
      </c>
      <c r="R18" t="str">
        <f t="shared" si="2"/>
        <v>UNITED STATES OF AMERICA</v>
      </c>
      <c r="S18" t="str">
        <f>""</f>
        <v/>
      </c>
      <c r="T18" s="7" t="str">
        <f>"410-356-5440"</f>
        <v>410-356-5440</v>
      </c>
      <c r="U18" t="str">
        <f>"266"</f>
        <v>266</v>
      </c>
      <c r="V18" s="9" t="str">
        <f>"410-356-5669"</f>
        <v>410-356-5669</v>
      </c>
      <c r="W18" t="str">
        <f>"KatieO@MURTHY.COM"</f>
        <v>KatieO@MURTHY.COM</v>
      </c>
      <c r="X18" t="str">
        <f>"Microsoft Corporation"</f>
        <v>Microsoft Corporation</v>
      </c>
      <c r="Y18" t="str">
        <f>""</f>
        <v/>
      </c>
      <c r="Z18" t="str">
        <f>"One Microsoft Way"</f>
        <v>One Microsoft Way</v>
      </c>
      <c r="AA18" t="str">
        <f>""</f>
        <v/>
      </c>
      <c r="AB18" t="str">
        <f>"Redmond"</f>
        <v>Redmond</v>
      </c>
      <c r="AC18" t="str">
        <f>"WA"</f>
        <v>WA</v>
      </c>
      <c r="AD18" s="7" t="str">
        <f>"98052"</f>
        <v>98052</v>
      </c>
      <c r="AE18" t="str">
        <f t="shared" si="1"/>
        <v>UNITED STATES OF AMERICA</v>
      </c>
      <c r="AF18" t="str">
        <f>""</f>
        <v/>
      </c>
      <c r="AG18" s="9" t="str">
        <f>"425-706-7916"</f>
        <v>425-706-7916</v>
      </c>
      <c r="AH18" t="str">
        <f>""</f>
        <v/>
      </c>
      <c r="AI18" t="str">
        <f>"911144442"</f>
        <v>911144442</v>
      </c>
      <c r="AJ18" t="str">
        <f>"511210"</f>
        <v>511210</v>
      </c>
      <c r="AK18" t="s">
        <v>83</v>
      </c>
      <c r="AL18" t="s">
        <v>83</v>
      </c>
      <c r="AM18" t="s">
        <v>84</v>
      </c>
      <c r="AN18" t="s">
        <v>83</v>
      </c>
      <c r="AQ18" t="str">
        <f>"Product Intelligence Manager"</f>
        <v>Product Intelligence Manager</v>
      </c>
      <c r="AR18" t="str">
        <f>"15-1132"</f>
        <v>15-1132</v>
      </c>
      <c r="AS18" t="str">
        <f>"Software Developers, Applications"</f>
        <v>Software Developers, Applications</v>
      </c>
      <c r="AT18" t="str">
        <f>"Principal PIM Manager"</f>
        <v>Principal PIM Manager</v>
      </c>
      <c r="AU18" t="s">
        <v>83</v>
      </c>
      <c r="AV18" t="str">
        <f>""</f>
        <v/>
      </c>
      <c r="AW18" t="str">
        <f>"None"</f>
        <v>None</v>
      </c>
      <c r="AX18" t="s">
        <v>83</v>
      </c>
      <c r="AY18" t="str">
        <f>""</f>
        <v/>
      </c>
      <c r="AZ18" t="s">
        <v>107</v>
      </c>
      <c r="BB18" t="s">
        <v>289</v>
      </c>
      <c r="BC18" t="s">
        <v>83</v>
      </c>
      <c r="BE18" t="s">
        <v>83</v>
      </c>
      <c r="BH18" t="s">
        <v>82</v>
      </c>
      <c r="BI18">
        <v>24</v>
      </c>
      <c r="BJ18" t="s">
        <v>293</v>
      </c>
      <c r="BK18" t="s">
        <v>294</v>
      </c>
      <c r="BL18" t="str">
        <f>"One Microsoft Way"</f>
        <v>One Microsoft Way</v>
      </c>
      <c r="BM18" t="str">
        <f>""</f>
        <v/>
      </c>
      <c r="BN18" t="str">
        <f>"Redmond"</f>
        <v>Redmond</v>
      </c>
      <c r="BO18" t="s">
        <v>219</v>
      </c>
      <c r="BP18" t="s">
        <v>220</v>
      </c>
      <c r="BQ18" s="7" t="str">
        <f>"98052"</f>
        <v>98052</v>
      </c>
      <c r="BR18" t="s">
        <v>83</v>
      </c>
      <c r="BS18" t="str">
        <f>""</f>
        <v/>
      </c>
    </row>
    <row r="19" spans="1:71" ht="15" customHeight="1" x14ac:dyDescent="0.25">
      <c r="A19" t="s">
        <v>275</v>
      </c>
      <c r="B19" t="s">
        <v>80</v>
      </c>
      <c r="C19" s="1">
        <v>43581</v>
      </c>
      <c r="G19" s="1">
        <v>45617</v>
      </c>
      <c r="H19" t="s">
        <v>81</v>
      </c>
      <c r="I19" t="str">
        <f>"WHITTENBURG"</f>
        <v>WHITTENBURG</v>
      </c>
      <c r="J19" t="str">
        <f>"FUJI"</f>
        <v>FUJI</v>
      </c>
      <c r="K19" t="str">
        <f>"Y"</f>
        <v>Y</v>
      </c>
      <c r="L19" t="str">
        <f>"ATTORNEY"</f>
        <v>ATTORNEY</v>
      </c>
      <c r="M19" t="str">
        <f>"22287 MULHOLLAND HWY"</f>
        <v>22287 MULHOLLAND HWY</v>
      </c>
      <c r="N19" t="str">
        <f>"SUITE 441"</f>
        <v>SUITE 441</v>
      </c>
      <c r="O19" t="str">
        <f>"CALABASAS"</f>
        <v>CALABASAS</v>
      </c>
      <c r="P19" t="str">
        <f>"CA"</f>
        <v>CA</v>
      </c>
      <c r="Q19" s="7" t="str">
        <f>"91302"</f>
        <v>91302</v>
      </c>
      <c r="R19" t="str">
        <f t="shared" si="2"/>
        <v>UNITED STATES OF AMERICA</v>
      </c>
      <c r="S19" t="str">
        <f>""</f>
        <v/>
      </c>
      <c r="T19" s="7" t="str">
        <f>"310-721-8503"</f>
        <v>310-721-8503</v>
      </c>
      <c r="U19" t="str">
        <f>""</f>
        <v/>
      </c>
      <c r="V19" s="9" t="str">
        <f>""</f>
        <v/>
      </c>
      <c r="W19" t="str">
        <f>"FUJI@WHITTENBURGIMMIGRATION.COM"</f>
        <v>FUJI@WHITTENBURGIMMIGRATION.COM</v>
      </c>
      <c r="X19" t="str">
        <f>"JAM CITY, INC."</f>
        <v>JAM CITY, INC.</v>
      </c>
      <c r="Y19" t="str">
        <f>""</f>
        <v/>
      </c>
      <c r="Z19" t="str">
        <f>"3562 EASTHAM DRIVE"</f>
        <v>3562 EASTHAM DRIVE</v>
      </c>
      <c r="AA19" t="str">
        <f>""</f>
        <v/>
      </c>
      <c r="AB19" t="str">
        <f>"CULVER CITY"</f>
        <v>CULVER CITY</v>
      </c>
      <c r="AC19" t="str">
        <f>"CA"</f>
        <v>CA</v>
      </c>
      <c r="AD19" s="7" t="str">
        <f>"90232"</f>
        <v>90232</v>
      </c>
      <c r="AE19" t="str">
        <f t="shared" si="1"/>
        <v>UNITED STATES OF AMERICA</v>
      </c>
      <c r="AF19" t="str">
        <f>""</f>
        <v/>
      </c>
      <c r="AG19" s="9" t="str">
        <f>"310-205-4800"</f>
        <v>310-205-4800</v>
      </c>
      <c r="AH19" t="str">
        <f>""</f>
        <v/>
      </c>
      <c r="AI19" t="str">
        <f>"271995808"</f>
        <v>271995808</v>
      </c>
      <c r="AJ19" t="str">
        <f>"541519"</f>
        <v>541519</v>
      </c>
      <c r="AK19" t="s">
        <v>83</v>
      </c>
      <c r="AL19" t="s">
        <v>83</v>
      </c>
      <c r="AM19" t="s">
        <v>84</v>
      </c>
      <c r="AN19" t="s">
        <v>83</v>
      </c>
      <c r="AQ19" t="str">
        <f>"QA Manager"</f>
        <v>QA Manager</v>
      </c>
      <c r="AR19" t="str">
        <f>"15-1199"</f>
        <v>15-1199</v>
      </c>
      <c r="AS19" t="str">
        <f>"Computer Occupations, All Other"</f>
        <v>Computer Occupations, All Other</v>
      </c>
      <c r="AT19" t="str">
        <f>"Executive Producer"</f>
        <v>Executive Producer</v>
      </c>
      <c r="AU19" t="s">
        <v>82</v>
      </c>
      <c r="AV19" t="str">
        <f>"2"</f>
        <v>2</v>
      </c>
      <c r="AW19" t="str">
        <f>"Subordinate"</f>
        <v>Subordinate</v>
      </c>
      <c r="AX19" t="s">
        <v>83</v>
      </c>
      <c r="AY19" t="str">
        <f>""</f>
        <v/>
      </c>
      <c r="AZ19" t="s">
        <v>123</v>
      </c>
      <c r="BC19" t="s">
        <v>83</v>
      </c>
      <c r="BE19" t="s">
        <v>83</v>
      </c>
      <c r="BH19" t="s">
        <v>82</v>
      </c>
      <c r="BI19">
        <v>60</v>
      </c>
      <c r="BJ19" t="s">
        <v>276</v>
      </c>
      <c r="BK19" t="s">
        <v>277</v>
      </c>
      <c r="BL19" t="str">
        <f>"225 Bush Street"</f>
        <v>225 Bush Street</v>
      </c>
      <c r="BM19" t="str">
        <f>"Suite 1900"</f>
        <v>Suite 1900</v>
      </c>
      <c r="BN19" t="str">
        <f>"San Francisco"</f>
        <v>San Francisco</v>
      </c>
      <c r="BO19" t="s">
        <v>237</v>
      </c>
      <c r="BP19" t="s">
        <v>153</v>
      </c>
      <c r="BQ19" s="7" t="str">
        <f>"94104"</f>
        <v>94104</v>
      </c>
      <c r="BR19" t="s">
        <v>83</v>
      </c>
      <c r="BS19" t="str">
        <f>""</f>
        <v/>
      </c>
    </row>
    <row r="20" spans="1:71" ht="15" customHeight="1" x14ac:dyDescent="0.25">
      <c r="A20" t="s">
        <v>273</v>
      </c>
      <c r="B20" t="s">
        <v>80</v>
      </c>
      <c r="C20" s="1">
        <v>43578</v>
      </c>
      <c r="G20" s="1">
        <v>45617</v>
      </c>
      <c r="H20" t="s">
        <v>81</v>
      </c>
      <c r="I20" t="str">
        <f>"RONG"</f>
        <v>RONG</v>
      </c>
      <c r="J20" t="str">
        <f>"SHUO"</f>
        <v>SHUO</v>
      </c>
      <c r="K20" t="str">
        <f>"N/A"</f>
        <v>N/A</v>
      </c>
      <c r="L20" t="str">
        <f>"Attorney"</f>
        <v>Attorney</v>
      </c>
      <c r="M20" t="str">
        <f>"226 AIRPORT PARKWAY"</f>
        <v>226 AIRPORT PARKWAY</v>
      </c>
      <c r="N20" t="str">
        <f>"SUITE 600"</f>
        <v>SUITE 600</v>
      </c>
      <c r="O20" t="str">
        <f>"SAN JOSE"</f>
        <v>SAN JOSE</v>
      </c>
      <c r="P20" t="str">
        <f>"CA"</f>
        <v>CA</v>
      </c>
      <c r="Q20" s="7" t="str">
        <f>"95110"</f>
        <v>95110</v>
      </c>
      <c r="R20" t="str">
        <f t="shared" si="2"/>
        <v>UNITED STATES OF AMERICA</v>
      </c>
      <c r="S20" t="str">
        <f>""</f>
        <v/>
      </c>
      <c r="T20" s="7" t="str">
        <f>"408-878-3380"</f>
        <v>408-878-3380</v>
      </c>
      <c r="U20" t="str">
        <f>""</f>
        <v/>
      </c>
      <c r="V20" s="9" t="str">
        <f>"408-878-3381"</f>
        <v>408-878-3381</v>
      </c>
      <c r="W20" t="str">
        <f>"SRONG@MISSIONPACIFICLAW.COM"</f>
        <v>SRONG@MISSIONPACIFICLAW.COM</v>
      </c>
      <c r="X20" t="str">
        <f>"SENSORTOWER, INC."</f>
        <v>SENSORTOWER, INC.</v>
      </c>
      <c r="Y20" t="str">
        <f>"N/A"</f>
        <v>N/A</v>
      </c>
      <c r="Z20" t="str">
        <f>"275 BATTERY STREET SUITE 800"</f>
        <v>275 BATTERY STREET SUITE 800</v>
      </c>
      <c r="AA20" t="str">
        <f>""</f>
        <v/>
      </c>
      <c r="AB20" t="str">
        <f>"SAN FRANCISCO"</f>
        <v>SAN FRANCISCO</v>
      </c>
      <c r="AC20" t="str">
        <f>"CA"</f>
        <v>CA</v>
      </c>
      <c r="AD20" s="7" t="str">
        <f>"94111"</f>
        <v>94111</v>
      </c>
      <c r="AE20" t="str">
        <f t="shared" si="1"/>
        <v>UNITED STATES OF AMERICA</v>
      </c>
      <c r="AF20" t="str">
        <f>""</f>
        <v/>
      </c>
      <c r="AG20" s="9" t="str">
        <f>"415-797-7444"</f>
        <v>415-797-7444</v>
      </c>
      <c r="AH20" t="str">
        <f>""</f>
        <v/>
      </c>
      <c r="AI20" t="str">
        <f>"462301305"</f>
        <v>462301305</v>
      </c>
      <c r="AJ20" t="str">
        <f>"511210"</f>
        <v>511210</v>
      </c>
      <c r="AK20" t="s">
        <v>83</v>
      </c>
      <c r="AL20" t="s">
        <v>83</v>
      </c>
      <c r="AM20" t="s">
        <v>84</v>
      </c>
      <c r="AN20" t="s">
        <v>83</v>
      </c>
      <c r="AQ20" t="str">
        <f>"Mobile Insights Strategist"</f>
        <v>Mobile Insights Strategist</v>
      </c>
      <c r="AR20" t="str">
        <f>"15-1199"</f>
        <v>15-1199</v>
      </c>
      <c r="AS20" t="str">
        <f>"Computer Occupations, All Other"</f>
        <v>Computer Occupations, All Other</v>
      </c>
      <c r="AT20" t="str">
        <f>"Head of Mobile Insights"</f>
        <v>Head of Mobile Insights</v>
      </c>
      <c r="AU20" t="s">
        <v>83</v>
      </c>
      <c r="AV20" t="str">
        <f>""</f>
        <v/>
      </c>
      <c r="AW20" t="str">
        <f>"None"</f>
        <v>None</v>
      </c>
      <c r="AX20" t="s">
        <v>83</v>
      </c>
      <c r="AY20" t="str">
        <f>""</f>
        <v/>
      </c>
      <c r="AZ20" t="s">
        <v>93</v>
      </c>
      <c r="BB20" t="s">
        <v>274</v>
      </c>
      <c r="BC20" t="s">
        <v>83</v>
      </c>
      <c r="BE20" t="s">
        <v>83</v>
      </c>
      <c r="BH20" t="s">
        <v>83</v>
      </c>
      <c r="BK20" t="s">
        <v>123</v>
      </c>
      <c r="BL20" t="str">
        <f>"275 BATTERY STREET STE 800"</f>
        <v>275 BATTERY STREET STE 800</v>
      </c>
      <c r="BM20" t="str">
        <f>""</f>
        <v/>
      </c>
      <c r="BN20" t="str">
        <f>"SAN FRANCISCO"</f>
        <v>SAN FRANCISCO</v>
      </c>
      <c r="BO20" t="s">
        <v>237</v>
      </c>
      <c r="BP20" t="s">
        <v>153</v>
      </c>
      <c r="BQ20" s="7" t="str">
        <f>"94111"</f>
        <v>94111</v>
      </c>
      <c r="BR20" t="s">
        <v>83</v>
      </c>
      <c r="BS20" t="str">
        <f>""</f>
        <v/>
      </c>
    </row>
    <row r="21" spans="1:71" ht="15" customHeight="1" x14ac:dyDescent="0.25">
      <c r="A21" t="s">
        <v>271</v>
      </c>
      <c r="B21" t="s">
        <v>80</v>
      </c>
      <c r="C21" s="1">
        <v>43577</v>
      </c>
      <c r="G21" s="1">
        <v>45617</v>
      </c>
      <c r="H21" t="s">
        <v>81</v>
      </c>
      <c r="I21" t="str">
        <f>"CHAU"</f>
        <v>CHAU</v>
      </c>
      <c r="J21" t="str">
        <f>"ANN"</f>
        <v>ANN</v>
      </c>
      <c r="K21" t="str">
        <f>"OANH"</f>
        <v>OANH</v>
      </c>
      <c r="L21" t="str">
        <f>"ATTORNEY AT LAW"</f>
        <v>ATTORNEY AT LAW</v>
      </c>
      <c r="M21" t="str">
        <f>"3590 NORTH FIRST STREET"</f>
        <v>3590 NORTH FIRST STREET</v>
      </c>
      <c r="N21" t="str">
        <f>"SUITE 310"</f>
        <v>SUITE 310</v>
      </c>
      <c r="O21" t="str">
        <f>"SAN JOSE"</f>
        <v>SAN JOSE</v>
      </c>
      <c r="P21" t="str">
        <f>"CA"</f>
        <v>CA</v>
      </c>
      <c r="Q21" s="7" t="str">
        <f>"95134"</f>
        <v>95134</v>
      </c>
      <c r="R21" t="str">
        <f t="shared" si="2"/>
        <v>UNITED STATES OF AMERICA</v>
      </c>
      <c r="S21" t="str">
        <f>""</f>
        <v/>
      </c>
      <c r="T21" s="7" t="str">
        <f>"408-432-9200"</f>
        <v>408-432-9200</v>
      </c>
      <c r="U21" t="str">
        <f>""</f>
        <v/>
      </c>
      <c r="V21" s="9" t="str">
        <f>"408-432-9191"</f>
        <v>408-432-9191</v>
      </c>
      <c r="W21" t="str">
        <f>"ALEXA@IMMIGRATIONLAWGROUP.NET"</f>
        <v>ALEXA@IMMIGRATIONLAWGROUP.NET</v>
      </c>
      <c r="X21" t="str">
        <f>"JUNIPER NETWORKS, INC."</f>
        <v>JUNIPER NETWORKS, INC.</v>
      </c>
      <c r="Y21" t="str">
        <f>""</f>
        <v/>
      </c>
      <c r="Z21" t="str">
        <f>"1133 INNOVATION WAY"</f>
        <v>1133 INNOVATION WAY</v>
      </c>
      <c r="AA21" t="str">
        <f>""</f>
        <v/>
      </c>
      <c r="AB21" t="str">
        <f>"SUNNYVALE"</f>
        <v>SUNNYVALE</v>
      </c>
      <c r="AC21" t="str">
        <f>"CA"</f>
        <v>CA</v>
      </c>
      <c r="AD21" s="7" t="str">
        <f>"94089"</f>
        <v>94089</v>
      </c>
      <c r="AE21" t="str">
        <f t="shared" si="1"/>
        <v>UNITED STATES OF AMERICA</v>
      </c>
      <c r="AF21" t="str">
        <f>""</f>
        <v/>
      </c>
      <c r="AG21" s="9" t="str">
        <f>"408-745-2000"</f>
        <v>408-745-2000</v>
      </c>
      <c r="AH21" t="str">
        <f>""</f>
        <v/>
      </c>
      <c r="AI21" t="str">
        <f>"770422528"</f>
        <v>770422528</v>
      </c>
      <c r="AJ21" t="str">
        <f>"54151"</f>
        <v>54151</v>
      </c>
      <c r="AK21" t="s">
        <v>83</v>
      </c>
      <c r="AL21" t="s">
        <v>83</v>
      </c>
      <c r="AM21" t="s">
        <v>84</v>
      </c>
      <c r="AN21" t="s">
        <v>83</v>
      </c>
      <c r="AQ21" t="str">
        <f>"Quality Specialist"</f>
        <v>Quality Specialist</v>
      </c>
      <c r="AR21" t="str">
        <f>"15-1199"</f>
        <v>15-1199</v>
      </c>
      <c r="AS21" t="str">
        <f>"Computer Occupations, All Other"</f>
        <v>Computer Occupations, All Other</v>
      </c>
      <c r="AT21" t="str">
        <f>"Manufacturing Ops Sr. Manager"</f>
        <v>Manufacturing Ops Sr. Manager</v>
      </c>
      <c r="AU21" t="s">
        <v>83</v>
      </c>
      <c r="AV21" t="str">
        <f>""</f>
        <v/>
      </c>
      <c r="AW21" t="str">
        <f>"None"</f>
        <v>None</v>
      </c>
      <c r="AX21" t="s">
        <v>83</v>
      </c>
      <c r="AY21" t="str">
        <f>""</f>
        <v/>
      </c>
      <c r="AZ21" t="s">
        <v>93</v>
      </c>
      <c r="BB21" t="s">
        <v>202</v>
      </c>
      <c r="BC21" t="s">
        <v>83</v>
      </c>
      <c r="BE21" t="s">
        <v>83</v>
      </c>
      <c r="BH21" t="s">
        <v>82</v>
      </c>
      <c r="BI21">
        <v>12</v>
      </c>
      <c r="BJ21" t="s">
        <v>202</v>
      </c>
      <c r="BK21" t="s">
        <v>272</v>
      </c>
      <c r="BL21" t="str">
        <f>"1133 Innovation Way"</f>
        <v>1133 Innovation Way</v>
      </c>
      <c r="BM21" t="str">
        <f>"Archana SOMASUNDARAM / 94"</f>
        <v>Archana SOMASUNDARAM / 94</v>
      </c>
      <c r="BN21" t="str">
        <f>"Sunnyvale"</f>
        <v>Sunnyvale</v>
      </c>
      <c r="BO21" t="s">
        <v>181</v>
      </c>
      <c r="BP21" t="s">
        <v>153</v>
      </c>
      <c r="BQ21" s="7" t="str">
        <f>"94089"</f>
        <v>94089</v>
      </c>
      <c r="BR21" t="s">
        <v>83</v>
      </c>
      <c r="BS21" t="str">
        <f>""</f>
        <v/>
      </c>
    </row>
    <row r="22" spans="1:71" ht="15" customHeight="1" x14ac:dyDescent="0.25">
      <c r="A22" t="s">
        <v>266</v>
      </c>
      <c r="B22" t="s">
        <v>80</v>
      </c>
      <c r="C22" s="1">
        <v>43565</v>
      </c>
      <c r="G22" s="1">
        <v>45617</v>
      </c>
      <c r="H22" t="s">
        <v>100</v>
      </c>
      <c r="I22" t="str">
        <f>"HANSEN"</f>
        <v>HANSEN</v>
      </c>
      <c r="J22" t="str">
        <f>"CARINA"</f>
        <v>CARINA</v>
      </c>
      <c r="K22" t="str">
        <f>"D"</f>
        <v>D</v>
      </c>
      <c r="L22" t="str">
        <f>"DIRECTOR"</f>
        <v>DIRECTOR</v>
      </c>
      <c r="M22" t="str">
        <f>"140 ENARSON CLASSROOM BUILDING"</f>
        <v>140 ENARSON CLASSROOM BUILDING</v>
      </c>
      <c r="N22" t="str">
        <f>"2009 MILLIKIN RD"</f>
        <v>2009 MILLIKIN RD</v>
      </c>
      <c r="O22" t="str">
        <f>"COLUMBUS"</f>
        <v>COLUMBUS</v>
      </c>
      <c r="P22" t="str">
        <f>"OH"</f>
        <v>OH</v>
      </c>
      <c r="Q22" s="7" t="str">
        <f>"43210"</f>
        <v>43210</v>
      </c>
      <c r="R22" t="str">
        <f t="shared" si="2"/>
        <v>UNITED STATES OF AMERICA</v>
      </c>
      <c r="S22" t="str">
        <f>""</f>
        <v/>
      </c>
      <c r="T22" s="7" t="str">
        <f>"614-292-6101"</f>
        <v>614-292-6101</v>
      </c>
      <c r="U22" t="str">
        <f>""</f>
        <v/>
      </c>
      <c r="V22" s="9" t="str">
        <f>""</f>
        <v/>
      </c>
      <c r="W22" t="str">
        <f>"H1BPROCESSING@OSU.EDU"</f>
        <v>H1BPROCESSING@OSU.EDU</v>
      </c>
      <c r="X22" t="str">
        <f>"THE OHIO STATE UNIVERSITY"</f>
        <v>THE OHIO STATE UNIVERSITY</v>
      </c>
      <c r="Y22" t="str">
        <f>""</f>
        <v/>
      </c>
      <c r="Z22" t="str">
        <f>"140 ENARSON CLASSROOM BUILDING"</f>
        <v>140 ENARSON CLASSROOM BUILDING</v>
      </c>
      <c r="AA22" t="str">
        <f>"2009 MILLIKIN RD"</f>
        <v>2009 MILLIKIN RD</v>
      </c>
      <c r="AB22" t="str">
        <f>"COLUMBUS"</f>
        <v>COLUMBUS</v>
      </c>
      <c r="AC22" t="str">
        <f>"OH"</f>
        <v>OH</v>
      </c>
      <c r="AD22" s="7" t="str">
        <f>"43210"</f>
        <v>43210</v>
      </c>
      <c r="AE22" t="str">
        <f t="shared" si="1"/>
        <v>UNITED STATES OF AMERICA</v>
      </c>
      <c r="AF22" t="str">
        <f>""</f>
        <v/>
      </c>
      <c r="AG22" s="9" t="str">
        <f>"614-292-6101"</f>
        <v>614-292-6101</v>
      </c>
      <c r="AH22" t="str">
        <f>""</f>
        <v/>
      </c>
      <c r="AI22" t="str">
        <f>"316025986"</f>
        <v>316025986</v>
      </c>
      <c r="AJ22" t="str">
        <f>"611310"</f>
        <v>611310</v>
      </c>
      <c r="AK22" t="s">
        <v>82</v>
      </c>
      <c r="AL22" t="s">
        <v>83</v>
      </c>
      <c r="AM22" t="s">
        <v>84</v>
      </c>
      <c r="AN22" t="s">
        <v>83</v>
      </c>
      <c r="AQ22" t="str">
        <f>"Assistant Professor"</f>
        <v>Assistant Professor</v>
      </c>
      <c r="AR22" t="str">
        <f>"25-1125"</f>
        <v>25-1125</v>
      </c>
      <c r="AS22" t="str">
        <f>"History Teachers, Postsecondary"</f>
        <v>History Teachers, Postsecondary</v>
      </c>
      <c r="AT22" t="str">
        <f>"Professor"</f>
        <v>Professor</v>
      </c>
      <c r="AU22" t="s">
        <v>83</v>
      </c>
      <c r="AV22" t="str">
        <f>""</f>
        <v/>
      </c>
      <c r="AW22" t="str">
        <f>"None"</f>
        <v>None</v>
      </c>
      <c r="AX22" t="s">
        <v>83</v>
      </c>
      <c r="AY22" t="str">
        <f>""</f>
        <v/>
      </c>
      <c r="AZ22" t="s">
        <v>114</v>
      </c>
      <c r="BB22" t="s">
        <v>267</v>
      </c>
      <c r="BC22" t="s">
        <v>83</v>
      </c>
      <c r="BE22" t="s">
        <v>83</v>
      </c>
      <c r="BH22" t="s">
        <v>83</v>
      </c>
      <c r="BK22" t="s">
        <v>268</v>
      </c>
      <c r="BL22" t="str">
        <f>"230 Annie and John Glen Ave"</f>
        <v>230 Annie and John Glen Ave</v>
      </c>
      <c r="BM22" t="str">
        <f>""</f>
        <v/>
      </c>
      <c r="BN22" t="str">
        <f>"Columbus"</f>
        <v>Columbus</v>
      </c>
      <c r="BO22" t="s">
        <v>269</v>
      </c>
      <c r="BP22" t="s">
        <v>112</v>
      </c>
      <c r="BQ22" s="7" t="str">
        <f>"43210"</f>
        <v>43210</v>
      </c>
      <c r="BR22" t="s">
        <v>83</v>
      </c>
      <c r="BS22" t="str">
        <f>""</f>
        <v/>
      </c>
    </row>
    <row r="23" spans="1:71" ht="15" customHeight="1" x14ac:dyDescent="0.25">
      <c r="A23" t="s">
        <v>258</v>
      </c>
      <c r="B23" t="s">
        <v>80</v>
      </c>
      <c r="C23" s="1">
        <v>43564</v>
      </c>
      <c r="G23" s="1">
        <v>45617</v>
      </c>
      <c r="H23" t="s">
        <v>81</v>
      </c>
      <c r="I23" t="str">
        <f>"Esmits"</f>
        <v>Esmits</v>
      </c>
      <c r="J23" t="str">
        <f>"Christopher"</f>
        <v>Christopher</v>
      </c>
      <c r="K23" t="str">
        <f>"Adam"</f>
        <v>Adam</v>
      </c>
      <c r="L23" t="str">
        <f>"Attorney"</f>
        <v>Attorney</v>
      </c>
      <c r="M23" t="str">
        <f>"230 W. MONROE STREET"</f>
        <v>230 W. MONROE STREET</v>
      </c>
      <c r="N23" t="str">
        <f>"SUITE 2800"</f>
        <v>SUITE 2800</v>
      </c>
      <c r="O23" t="str">
        <f>"CHICAGO"</f>
        <v>CHICAGO</v>
      </c>
      <c r="P23" t="str">
        <f>"IL"</f>
        <v>IL</v>
      </c>
      <c r="Q23" s="7" t="str">
        <f>"60606"</f>
        <v>60606</v>
      </c>
      <c r="R23" t="str">
        <f t="shared" si="2"/>
        <v>UNITED STATES OF AMERICA</v>
      </c>
      <c r="S23" t="str">
        <f>""</f>
        <v/>
      </c>
      <c r="T23" s="7" t="str">
        <f>"312-722-6300"</f>
        <v>312-722-6300</v>
      </c>
      <c r="U23" t="str">
        <f>""</f>
        <v/>
      </c>
      <c r="V23" s="9" t="str">
        <f>"312-527-1214"</f>
        <v>312-527-1214</v>
      </c>
      <c r="W23" t="str">
        <f>"GOV@GIAFIRM.COM"</f>
        <v>GOV@GIAFIRM.COM</v>
      </c>
      <c r="X23" t="str">
        <f>"Syapse Inc."</f>
        <v>Syapse Inc.</v>
      </c>
      <c r="Y23" t="str">
        <f>""</f>
        <v/>
      </c>
      <c r="Z23" t="str">
        <f>"303 2nd Street"</f>
        <v>303 2nd Street</v>
      </c>
      <c r="AA23" t="str">
        <f>"North Tower 500"</f>
        <v>North Tower 500</v>
      </c>
      <c r="AB23" t="str">
        <f>"San Francisco"</f>
        <v>San Francisco</v>
      </c>
      <c r="AC23" t="str">
        <f>"CA"</f>
        <v>CA</v>
      </c>
      <c r="AD23" s="7" t="str">
        <f>"94107"</f>
        <v>94107</v>
      </c>
      <c r="AE23" t="str">
        <f t="shared" si="1"/>
        <v>UNITED STATES OF AMERICA</v>
      </c>
      <c r="AF23" t="str">
        <f>""</f>
        <v/>
      </c>
      <c r="AG23" s="9" t="str">
        <f>"925-989-5899"</f>
        <v>925-989-5899</v>
      </c>
      <c r="AH23" t="str">
        <f>""</f>
        <v/>
      </c>
      <c r="AI23" t="str">
        <f>"263457459"</f>
        <v>263457459</v>
      </c>
      <c r="AJ23" t="str">
        <f>"541512"</f>
        <v>541512</v>
      </c>
      <c r="AK23" t="s">
        <v>83</v>
      </c>
      <c r="AL23" t="s">
        <v>83</v>
      </c>
      <c r="AM23" t="s">
        <v>84</v>
      </c>
      <c r="AN23" t="s">
        <v>83</v>
      </c>
      <c r="AQ23" t="str">
        <f>"Lead QA Automation Engineer"</f>
        <v>Lead QA Automation Engineer</v>
      </c>
      <c r="AR23" t="str">
        <f>"15-1199"</f>
        <v>15-1199</v>
      </c>
      <c r="AS23" t="str">
        <f>"Computer Occupations, All Other"</f>
        <v>Computer Occupations, All Other</v>
      </c>
      <c r="AT23" t="str">
        <f>"Director of Quality Assurance"</f>
        <v>Director of Quality Assurance</v>
      </c>
      <c r="AU23" t="s">
        <v>82</v>
      </c>
      <c r="AV23" t="str">
        <f>"2"</f>
        <v>2</v>
      </c>
      <c r="AW23" t="str">
        <f>"Subordinate"</f>
        <v>Subordinate</v>
      </c>
      <c r="AX23" t="s">
        <v>83</v>
      </c>
      <c r="AY23" t="str">
        <f>""</f>
        <v/>
      </c>
      <c r="AZ23" t="s">
        <v>107</v>
      </c>
      <c r="BB23" t="s">
        <v>259</v>
      </c>
      <c r="BC23" t="s">
        <v>83</v>
      </c>
      <c r="BE23" t="s">
        <v>83</v>
      </c>
      <c r="BH23" t="s">
        <v>82</v>
      </c>
      <c r="BI23">
        <v>84</v>
      </c>
      <c r="BJ23" t="s">
        <v>260</v>
      </c>
      <c r="BK23" t="s">
        <v>261</v>
      </c>
      <c r="BL23" t="str">
        <f>"Five Radnor Corporate Center"</f>
        <v>Five Radnor Corporate Center</v>
      </c>
      <c r="BM23" t="str">
        <f>"100 Matsonford Road, Suite 444"</f>
        <v>100 Matsonford Road, Suite 444</v>
      </c>
      <c r="BN23" t="str">
        <f>"Radnor"</f>
        <v>Radnor</v>
      </c>
      <c r="BO23" t="s">
        <v>262</v>
      </c>
      <c r="BP23" t="s">
        <v>165</v>
      </c>
      <c r="BQ23" s="7" t="str">
        <f>"19087"</f>
        <v>19087</v>
      </c>
      <c r="BR23" t="s">
        <v>83</v>
      </c>
      <c r="BS23" t="str">
        <f>""</f>
        <v/>
      </c>
    </row>
    <row r="24" spans="1:71" ht="15" customHeight="1" x14ac:dyDescent="0.25">
      <c r="A24" t="s">
        <v>263</v>
      </c>
      <c r="B24" t="s">
        <v>80</v>
      </c>
      <c r="C24" s="1">
        <v>43564</v>
      </c>
      <c r="G24" s="1">
        <v>45617</v>
      </c>
      <c r="H24" t="s">
        <v>81</v>
      </c>
      <c r="I24" t="str">
        <f>"GROSS"</f>
        <v>GROSS</v>
      </c>
      <c r="J24" t="str">
        <f>"MATTHEW"</f>
        <v>MATTHEW</v>
      </c>
      <c r="K24" t="str">
        <f>"DAVID"</f>
        <v>DAVID</v>
      </c>
      <c r="L24" t="str">
        <f>"Attorney"</f>
        <v>Attorney</v>
      </c>
      <c r="M24" t="str">
        <f>"2400 N. Glenville Drive"</f>
        <v>2400 N. Glenville Drive</v>
      </c>
      <c r="N24" t="str">
        <f>"Building A, Suite 100"</f>
        <v>Building A, Suite 100</v>
      </c>
      <c r="O24" t="str">
        <f>"Richardson"</f>
        <v>Richardson</v>
      </c>
      <c r="P24" t="str">
        <f>"TX"</f>
        <v>TX</v>
      </c>
      <c r="Q24" s="7" t="str">
        <f>"75082"</f>
        <v>75082</v>
      </c>
      <c r="R24" t="str">
        <f t="shared" si="2"/>
        <v>UNITED STATES OF AMERICA</v>
      </c>
      <c r="S24" t="str">
        <f>"N/A"</f>
        <v>N/A</v>
      </c>
      <c r="T24" s="7" t="str">
        <f>"972-729-6076"</f>
        <v>972-729-6076</v>
      </c>
      <c r="U24" t="str">
        <f>"2621"</f>
        <v>2621</v>
      </c>
      <c r="V24" s="9" t="str">
        <f>""</f>
        <v/>
      </c>
      <c r="W24" t="str">
        <f>"calderink@balglobal.com"</f>
        <v>calderink@balglobal.com</v>
      </c>
      <c r="X24" t="str">
        <f>"CH2M HILL ENGINEERS, INC."</f>
        <v>CH2M HILL ENGINEERS, INC.</v>
      </c>
      <c r="Y24" t="str">
        <f>"N/A"</f>
        <v>N/A</v>
      </c>
      <c r="Z24" t="str">
        <f>"9127 S. JAMAICA ST."</f>
        <v>9127 S. JAMAICA ST.</v>
      </c>
      <c r="AA24" t="str">
        <f>""</f>
        <v/>
      </c>
      <c r="AB24" t="str">
        <f>"ENGLEWOOD"</f>
        <v>ENGLEWOOD</v>
      </c>
      <c r="AC24" t="str">
        <f>"CO"</f>
        <v>CO</v>
      </c>
      <c r="AD24" s="7" t="str">
        <f>"80112"</f>
        <v>80112</v>
      </c>
      <c r="AE24" t="str">
        <f t="shared" si="1"/>
        <v>UNITED STATES OF AMERICA</v>
      </c>
      <c r="AF24" t="str">
        <f>""</f>
        <v/>
      </c>
      <c r="AG24" s="9" t="str">
        <f>"720-286-0176"</f>
        <v>720-286-0176</v>
      </c>
      <c r="AH24" t="str">
        <f>""</f>
        <v/>
      </c>
      <c r="AI24" t="str">
        <f>"320100027"</f>
        <v>320100027</v>
      </c>
      <c r="AJ24" t="str">
        <f>"237990"</f>
        <v>237990</v>
      </c>
      <c r="AK24" t="s">
        <v>83</v>
      </c>
      <c r="AL24" t="s">
        <v>83</v>
      </c>
      <c r="AM24" t="s">
        <v>84</v>
      </c>
      <c r="AN24" t="s">
        <v>83</v>
      </c>
      <c r="AQ24" t="str">
        <f>"Construction Management Professional"</f>
        <v>Construction Management Professional</v>
      </c>
      <c r="AR24" t="str">
        <f>"17-2081"</f>
        <v>17-2081</v>
      </c>
      <c r="AS24" t="str">
        <f>"Environmental Engineers"</f>
        <v>Environmental Engineers</v>
      </c>
      <c r="AT24" t="str">
        <f>"Manager"</f>
        <v>Manager</v>
      </c>
      <c r="AU24" t="s">
        <v>82</v>
      </c>
      <c r="AV24" t="str">
        <f>"2"</f>
        <v>2</v>
      </c>
      <c r="AW24" t="str">
        <f>"Subordinate"</f>
        <v>Subordinate</v>
      </c>
      <c r="AX24" t="s">
        <v>83</v>
      </c>
      <c r="AY24" t="str">
        <f>""</f>
        <v/>
      </c>
      <c r="AZ24" t="s">
        <v>93</v>
      </c>
      <c r="BB24" t="s">
        <v>254</v>
      </c>
      <c r="BC24" t="s">
        <v>83</v>
      </c>
      <c r="BE24" t="s">
        <v>83</v>
      </c>
      <c r="BH24" t="s">
        <v>82</v>
      </c>
      <c r="BI24">
        <v>24</v>
      </c>
      <c r="BJ24" t="s">
        <v>254</v>
      </c>
      <c r="BK24" t="s">
        <v>255</v>
      </c>
      <c r="BL24" t="str">
        <f>"160 Spear Street, Suite 1200"</f>
        <v>160 Spear Street, Suite 1200</v>
      </c>
      <c r="BM24" t="str">
        <f>""</f>
        <v/>
      </c>
      <c r="BN24" t="str">
        <f>"San Francisco"</f>
        <v>San Francisco</v>
      </c>
      <c r="BO24" t="s">
        <v>264</v>
      </c>
      <c r="BP24" t="s">
        <v>153</v>
      </c>
      <c r="BQ24" s="7" t="str">
        <f>"94105"</f>
        <v>94105</v>
      </c>
      <c r="BR24" t="s">
        <v>83</v>
      </c>
      <c r="BS24" t="str">
        <f>""</f>
        <v/>
      </c>
    </row>
    <row r="25" spans="1:71" ht="15" customHeight="1" x14ac:dyDescent="0.25">
      <c r="A25" t="s">
        <v>265</v>
      </c>
      <c r="B25" t="s">
        <v>80</v>
      </c>
      <c r="C25" s="1">
        <v>43564</v>
      </c>
      <c r="G25" s="1">
        <v>45617</v>
      </c>
      <c r="H25" t="s">
        <v>81</v>
      </c>
      <c r="I25" t="str">
        <f>"GROSS"</f>
        <v>GROSS</v>
      </c>
      <c r="J25" t="str">
        <f>"MATTHEW"</f>
        <v>MATTHEW</v>
      </c>
      <c r="K25" t="str">
        <f>"DAVID"</f>
        <v>DAVID</v>
      </c>
      <c r="L25" t="str">
        <f>"Attorney"</f>
        <v>Attorney</v>
      </c>
      <c r="M25" t="str">
        <f>"2400 N. Glenville Drive"</f>
        <v>2400 N. Glenville Drive</v>
      </c>
      <c r="N25" t="str">
        <f>"Building A, Suite 100"</f>
        <v>Building A, Suite 100</v>
      </c>
      <c r="O25" t="str">
        <f>"Richardson"</f>
        <v>Richardson</v>
      </c>
      <c r="P25" t="str">
        <f>"TX"</f>
        <v>TX</v>
      </c>
      <c r="Q25" s="7" t="str">
        <f>"75082"</f>
        <v>75082</v>
      </c>
      <c r="R25" t="str">
        <f t="shared" si="2"/>
        <v>UNITED STATES OF AMERICA</v>
      </c>
      <c r="S25" t="str">
        <f>"N/A"</f>
        <v>N/A</v>
      </c>
      <c r="T25" s="7" t="str">
        <f>"972-729-6076"</f>
        <v>972-729-6076</v>
      </c>
      <c r="U25" t="str">
        <f>"2621"</f>
        <v>2621</v>
      </c>
      <c r="V25" s="9" t="str">
        <f>""</f>
        <v/>
      </c>
      <c r="W25" t="str">
        <f>"calderink@balglobal.com"</f>
        <v>calderink@balglobal.com</v>
      </c>
      <c r="X25" t="str">
        <f>"CH2M HILL ENGINEERS, INC."</f>
        <v>CH2M HILL ENGINEERS, INC.</v>
      </c>
      <c r="Y25" t="str">
        <f>"N/A"</f>
        <v>N/A</v>
      </c>
      <c r="Z25" t="str">
        <f>"9127 S. JAMAICA ST."</f>
        <v>9127 S. JAMAICA ST.</v>
      </c>
      <c r="AA25" t="str">
        <f>""</f>
        <v/>
      </c>
      <c r="AB25" t="str">
        <f>"ENGLEWOOD"</f>
        <v>ENGLEWOOD</v>
      </c>
      <c r="AC25" t="str">
        <f>"CO"</f>
        <v>CO</v>
      </c>
      <c r="AD25" s="7" t="str">
        <f>"80112"</f>
        <v>80112</v>
      </c>
      <c r="AE25" t="str">
        <f t="shared" si="1"/>
        <v>UNITED STATES OF AMERICA</v>
      </c>
      <c r="AF25" t="str">
        <f>""</f>
        <v/>
      </c>
      <c r="AG25" s="9" t="str">
        <f>"720-286-0176"</f>
        <v>720-286-0176</v>
      </c>
      <c r="AH25" t="str">
        <f>""</f>
        <v/>
      </c>
      <c r="AI25" t="str">
        <f>"320100027"</f>
        <v>320100027</v>
      </c>
      <c r="AJ25" t="str">
        <f>"237990"</f>
        <v>237990</v>
      </c>
      <c r="AK25" t="s">
        <v>83</v>
      </c>
      <c r="AL25" t="s">
        <v>83</v>
      </c>
      <c r="AM25" t="s">
        <v>84</v>
      </c>
      <c r="AN25" t="s">
        <v>83</v>
      </c>
      <c r="AQ25" t="str">
        <f>"Construction Management Professional"</f>
        <v>Construction Management Professional</v>
      </c>
      <c r="AR25" t="str">
        <f>"17-2051"</f>
        <v>17-2051</v>
      </c>
      <c r="AS25" t="str">
        <f>"Civil Engineers"</f>
        <v>Civil Engineers</v>
      </c>
      <c r="AT25" t="str">
        <f>"Manager"</f>
        <v>Manager</v>
      </c>
      <c r="AU25" t="s">
        <v>82</v>
      </c>
      <c r="AV25" t="str">
        <f>"2"</f>
        <v>2</v>
      </c>
      <c r="AW25" t="str">
        <f>"Subordinate"</f>
        <v>Subordinate</v>
      </c>
      <c r="AX25" t="s">
        <v>83</v>
      </c>
      <c r="AY25" t="str">
        <f>""</f>
        <v/>
      </c>
      <c r="AZ25" t="s">
        <v>93</v>
      </c>
      <c r="BB25" t="s">
        <v>254</v>
      </c>
      <c r="BC25" t="s">
        <v>83</v>
      </c>
      <c r="BE25" t="s">
        <v>83</v>
      </c>
      <c r="BH25" t="s">
        <v>82</v>
      </c>
      <c r="BI25">
        <v>24</v>
      </c>
      <c r="BJ25" t="s">
        <v>254</v>
      </c>
      <c r="BK25" t="s">
        <v>255</v>
      </c>
      <c r="BL25" t="str">
        <f>"160 Spear Street, Suite 1200"</f>
        <v>160 Spear Street, Suite 1200</v>
      </c>
      <c r="BM25" t="str">
        <f>""</f>
        <v/>
      </c>
      <c r="BN25" t="str">
        <f>"San Francisco"</f>
        <v>San Francisco</v>
      </c>
      <c r="BO25" t="s">
        <v>264</v>
      </c>
      <c r="BP25" t="s">
        <v>153</v>
      </c>
      <c r="BQ25" s="7" t="str">
        <f>"94105"</f>
        <v>94105</v>
      </c>
      <c r="BR25" t="s">
        <v>83</v>
      </c>
      <c r="BS25" t="str">
        <f>""</f>
        <v/>
      </c>
    </row>
    <row r="26" spans="1:71" ht="15" customHeight="1" x14ac:dyDescent="0.25">
      <c r="A26" t="s">
        <v>253</v>
      </c>
      <c r="B26" t="s">
        <v>80</v>
      </c>
      <c r="C26" s="1">
        <v>43559</v>
      </c>
      <c r="G26" s="1">
        <v>45617</v>
      </c>
      <c r="H26" t="s">
        <v>81</v>
      </c>
      <c r="I26" t="str">
        <f>"GROSS"</f>
        <v>GROSS</v>
      </c>
      <c r="J26" t="str">
        <f>"MATTHEW"</f>
        <v>MATTHEW</v>
      </c>
      <c r="K26" t="str">
        <f>"DAVID"</f>
        <v>DAVID</v>
      </c>
      <c r="L26" t="str">
        <f>"Attorney"</f>
        <v>Attorney</v>
      </c>
      <c r="M26" t="str">
        <f>"2400 N. Glenville Drive"</f>
        <v>2400 N. Glenville Drive</v>
      </c>
      <c r="N26" t="str">
        <f>"Building A, Suite 100"</f>
        <v>Building A, Suite 100</v>
      </c>
      <c r="O26" t="str">
        <f>"Richardson"</f>
        <v>Richardson</v>
      </c>
      <c r="P26" t="str">
        <f>"TX"</f>
        <v>TX</v>
      </c>
      <c r="Q26" s="7" t="str">
        <f>"75082"</f>
        <v>75082</v>
      </c>
      <c r="R26" t="str">
        <f t="shared" si="2"/>
        <v>UNITED STATES OF AMERICA</v>
      </c>
      <c r="S26" t="str">
        <f>"N/A"</f>
        <v>N/A</v>
      </c>
      <c r="T26" s="7" t="str">
        <f>"972-729-6076"</f>
        <v>972-729-6076</v>
      </c>
      <c r="U26" t="str">
        <f>"2050"</f>
        <v>2050</v>
      </c>
      <c r="V26" s="9" t="str">
        <f>""</f>
        <v/>
      </c>
      <c r="W26" t="str">
        <f>"calderink@balglobal.com"</f>
        <v>calderink@balglobal.com</v>
      </c>
      <c r="X26" t="str">
        <f>"CH2M HILL ENGINEERS, INC."</f>
        <v>CH2M HILL ENGINEERS, INC.</v>
      </c>
      <c r="Y26" t="str">
        <f>"N/A"</f>
        <v>N/A</v>
      </c>
      <c r="Z26" t="str">
        <f>"9127 S. JAMAICA ST."</f>
        <v>9127 S. JAMAICA ST.</v>
      </c>
      <c r="AA26" t="str">
        <f>""</f>
        <v/>
      </c>
      <c r="AB26" t="str">
        <f>"ENGLEWOOD"</f>
        <v>ENGLEWOOD</v>
      </c>
      <c r="AC26" t="str">
        <f>"CO"</f>
        <v>CO</v>
      </c>
      <c r="AD26" s="7" t="str">
        <f>"80112"</f>
        <v>80112</v>
      </c>
      <c r="AE26" t="str">
        <f t="shared" si="1"/>
        <v>UNITED STATES OF AMERICA</v>
      </c>
      <c r="AF26" t="str">
        <f>""</f>
        <v/>
      </c>
      <c r="AG26" s="9" t="str">
        <f>"720-286-0176"</f>
        <v>720-286-0176</v>
      </c>
      <c r="AH26" t="str">
        <f>""</f>
        <v/>
      </c>
      <c r="AI26" t="str">
        <f>"320100027"</f>
        <v>320100027</v>
      </c>
      <c r="AJ26" t="str">
        <f>"237990"</f>
        <v>237990</v>
      </c>
      <c r="AK26" t="s">
        <v>83</v>
      </c>
      <c r="AL26" t="s">
        <v>83</v>
      </c>
      <c r="AM26" t="s">
        <v>84</v>
      </c>
      <c r="AN26" t="s">
        <v>83</v>
      </c>
      <c r="AQ26" t="str">
        <f>"Water Engineer"</f>
        <v>Water Engineer</v>
      </c>
      <c r="AR26" t="str">
        <f>"17-2081"</f>
        <v>17-2081</v>
      </c>
      <c r="AS26" t="str">
        <f>"Environmental Engineers"</f>
        <v>Environmental Engineers</v>
      </c>
      <c r="AT26" t="str">
        <f>"Manager"</f>
        <v>Manager</v>
      </c>
      <c r="AU26" t="s">
        <v>82</v>
      </c>
      <c r="AV26" t="str">
        <f>"2"</f>
        <v>2</v>
      </c>
      <c r="AW26" t="str">
        <f>"Subordinate"</f>
        <v>Subordinate</v>
      </c>
      <c r="AX26" t="s">
        <v>83</v>
      </c>
      <c r="AY26" t="str">
        <f>""</f>
        <v/>
      </c>
      <c r="AZ26" t="s">
        <v>93</v>
      </c>
      <c r="BB26" t="s">
        <v>254</v>
      </c>
      <c r="BC26" t="s">
        <v>83</v>
      </c>
      <c r="BE26" t="s">
        <v>83</v>
      </c>
      <c r="BH26" t="s">
        <v>82</v>
      </c>
      <c r="BI26">
        <v>24</v>
      </c>
      <c r="BJ26" t="s">
        <v>254</v>
      </c>
      <c r="BK26" t="s">
        <v>255</v>
      </c>
      <c r="BL26" t="str">
        <f>"2411 Dulles Corner Park"</f>
        <v>2411 Dulles Corner Park</v>
      </c>
      <c r="BM26" t="str">
        <f>""</f>
        <v/>
      </c>
      <c r="BN26" t="str">
        <f>"Herndon"</f>
        <v>Herndon</v>
      </c>
      <c r="BO26" t="s">
        <v>256</v>
      </c>
      <c r="BP26" t="s">
        <v>257</v>
      </c>
      <c r="BQ26" s="7" t="str">
        <f>"20171"</f>
        <v>20171</v>
      </c>
      <c r="BR26" t="s">
        <v>83</v>
      </c>
      <c r="BS26" t="str">
        <f>""</f>
        <v/>
      </c>
    </row>
    <row r="27" spans="1:71" ht="15" customHeight="1" x14ac:dyDescent="0.25">
      <c r="A27" t="s">
        <v>250</v>
      </c>
      <c r="B27" t="s">
        <v>80</v>
      </c>
      <c r="C27" s="1">
        <v>43558</v>
      </c>
      <c r="G27" s="1">
        <v>45617</v>
      </c>
      <c r="H27" t="s">
        <v>81</v>
      </c>
      <c r="I27" t="str">
        <f>"ROSKOM"</f>
        <v>ROSKOM</v>
      </c>
      <c r="J27" t="str">
        <f>"ANNE"</f>
        <v>ANNE</v>
      </c>
      <c r="K27" t="str">
        <f>"ROWLEY"</f>
        <v>ROWLEY</v>
      </c>
      <c r="L27" t="str">
        <f>"ASSOCIATE ATTORNEY"</f>
        <v>ASSOCIATE ATTORNEY</v>
      </c>
      <c r="M27" t="str">
        <f>"100 HIGH STREET"</f>
        <v>100 HIGH STREET</v>
      </c>
      <c r="N27" t="str">
        <f>"3RD FLOOR"</f>
        <v>3RD FLOOR</v>
      </c>
      <c r="O27" t="str">
        <f>"BOSTON"</f>
        <v>BOSTON</v>
      </c>
      <c r="P27" t="str">
        <f>"MA"</f>
        <v>MA</v>
      </c>
      <c r="Q27" s="7" t="str">
        <f>"02110"</f>
        <v>02110</v>
      </c>
      <c r="R27" t="str">
        <f t="shared" si="2"/>
        <v>UNITED STATES OF AMERICA</v>
      </c>
      <c r="S27" t="str">
        <f>""</f>
        <v/>
      </c>
      <c r="T27" s="7" t="str">
        <f>"617-574-0400"</f>
        <v>617-574-0400</v>
      </c>
      <c r="U27" t="str">
        <f>""</f>
        <v/>
      </c>
      <c r="V27" s="9" t="str">
        <f>""</f>
        <v/>
      </c>
      <c r="W27" t="str">
        <f>"JCARCAMO@FRAGOMEN.COM"</f>
        <v>JCARCAMO@FRAGOMEN.COM</v>
      </c>
      <c r="X27" t="str">
        <f>"WARTSILA NORTH AMERICA, INC."</f>
        <v>WARTSILA NORTH AMERICA, INC.</v>
      </c>
      <c r="Y27" t="str">
        <f>""</f>
        <v/>
      </c>
      <c r="Z27" t="str">
        <f>"11710 N. Gessner Road"</f>
        <v>11710 N. Gessner Road</v>
      </c>
      <c r="AA27" t="str">
        <f>"Suite A"</f>
        <v>Suite A</v>
      </c>
      <c r="AB27" t="str">
        <f>"Houston"</f>
        <v>Houston</v>
      </c>
      <c r="AC27" t="str">
        <f>"TX"</f>
        <v>TX</v>
      </c>
      <c r="AD27" s="7" t="str">
        <f>"77064"</f>
        <v>77064</v>
      </c>
      <c r="AE27" t="str">
        <f t="shared" si="1"/>
        <v>UNITED STATES OF AMERICA</v>
      </c>
      <c r="AF27" t="str">
        <f>""</f>
        <v/>
      </c>
      <c r="AG27" s="9" t="str">
        <f>"504-722-4697"</f>
        <v>504-722-4697</v>
      </c>
      <c r="AH27" t="str">
        <f>""</f>
        <v/>
      </c>
      <c r="AI27" t="str">
        <f>"522274798"</f>
        <v>522274798</v>
      </c>
      <c r="AJ27" t="str">
        <f>"423830"</f>
        <v>423830</v>
      </c>
      <c r="AK27" t="s">
        <v>83</v>
      </c>
      <c r="AL27" t="s">
        <v>83</v>
      </c>
      <c r="AM27" t="s">
        <v>84</v>
      </c>
      <c r="AN27" t="s">
        <v>83</v>
      </c>
      <c r="AQ27" t="str">
        <f>"Local Project, Site Manager"</f>
        <v>Local Project, Site Manager</v>
      </c>
      <c r="AR27" t="str">
        <f>"11-9021"</f>
        <v>11-9021</v>
      </c>
      <c r="AS27" t="str">
        <f>"Construction Managers"</f>
        <v>Construction Managers</v>
      </c>
      <c r="AT27" t="str">
        <f>""</f>
        <v/>
      </c>
      <c r="AU27" t="s">
        <v>82</v>
      </c>
      <c r="AV27" t="str">
        <f>"4"</f>
        <v>4</v>
      </c>
      <c r="AW27" t="str">
        <f>"Subordinate"</f>
        <v>Subordinate</v>
      </c>
      <c r="AX27" t="s">
        <v>82</v>
      </c>
      <c r="AY27" t="str">
        <f>"Domestic/International travel required up to 50% of time to visit client sites per Stakeholder Management Plan and to attend Factory Acceptance Testing of deliverable."</f>
        <v>Domestic/International travel required up to 50% of time to visit client sites per Stakeholder Management Plan and to attend Factory Acceptance Testing of deliverable.</v>
      </c>
      <c r="AZ27" t="s">
        <v>107</v>
      </c>
      <c r="BB27" t="s">
        <v>251</v>
      </c>
      <c r="BC27" t="s">
        <v>83</v>
      </c>
      <c r="BE27" t="s">
        <v>83</v>
      </c>
      <c r="BH27" t="s">
        <v>82</v>
      </c>
      <c r="BI27">
        <v>60</v>
      </c>
      <c r="BJ27" t="s">
        <v>251</v>
      </c>
      <c r="BK27" s="2" t="s">
        <v>252</v>
      </c>
      <c r="BL27" t="str">
        <f>"11710 N Gessner"</f>
        <v>11710 N Gessner</v>
      </c>
      <c r="BM27" t="str">
        <f>"Ste A"</f>
        <v>Ste A</v>
      </c>
      <c r="BN27" t="str">
        <f>"Houston"</f>
        <v>Houston</v>
      </c>
      <c r="BO27" t="s">
        <v>227</v>
      </c>
      <c r="BP27" t="s">
        <v>191</v>
      </c>
      <c r="BQ27" s="7" t="str">
        <f>"77064"</f>
        <v>77064</v>
      </c>
      <c r="BR27" t="s">
        <v>83</v>
      </c>
      <c r="BS27" t="str">
        <f>""</f>
        <v/>
      </c>
    </row>
    <row r="28" spans="1:71" ht="15" customHeight="1" x14ac:dyDescent="0.25">
      <c r="A28" t="s">
        <v>242</v>
      </c>
      <c r="B28" t="s">
        <v>80</v>
      </c>
      <c r="C28" s="1">
        <v>43550</v>
      </c>
      <c r="G28" s="1">
        <v>45617</v>
      </c>
      <c r="H28" t="s">
        <v>81</v>
      </c>
      <c r="I28" t="str">
        <f>"GARCIA"</f>
        <v>GARCIA</v>
      </c>
      <c r="J28" t="str">
        <f>"MANUEL"</f>
        <v>MANUEL</v>
      </c>
      <c r="K28" t="str">
        <f>"N/A"</f>
        <v>N/A</v>
      </c>
      <c r="L28" t="str">
        <f>"PRESIDENT"</f>
        <v>PRESIDENT</v>
      </c>
      <c r="M28" t="str">
        <f>"7345 Woodland Drive, Suite A"</f>
        <v>7345 Woodland Drive, Suite A</v>
      </c>
      <c r="N28" t="str">
        <f>""</f>
        <v/>
      </c>
      <c r="O28" t="str">
        <f>"INDIANAPOLIS"</f>
        <v>INDIANAPOLIS</v>
      </c>
      <c r="P28" t="str">
        <f>"IN"</f>
        <v>IN</v>
      </c>
      <c r="Q28" s="7" t="str">
        <f>"46278"</f>
        <v>46278</v>
      </c>
      <c r="R28" t="str">
        <f t="shared" si="2"/>
        <v>UNITED STATES OF AMERICA</v>
      </c>
      <c r="S28" t="str">
        <f>""</f>
        <v/>
      </c>
      <c r="T28" s="7" t="str">
        <f>"317-536-5166"</f>
        <v>317-536-5166</v>
      </c>
      <c r="U28" t="str">
        <f>""</f>
        <v/>
      </c>
      <c r="V28" s="9" t="str">
        <f>"317-550-1535"</f>
        <v>317-550-1535</v>
      </c>
      <c r="W28" t="str">
        <f>"manny@tcscare.com"</f>
        <v>manny@tcscare.com</v>
      </c>
      <c r="X28" t="str">
        <f>"PHARMANEEK, INC."</f>
        <v>PHARMANEEK, INC.</v>
      </c>
      <c r="Y28" t="str">
        <f>"TCS CARE"</f>
        <v>TCS CARE</v>
      </c>
      <c r="Z28" t="str">
        <f>"7345 Woodland Drive, Suite A"</f>
        <v>7345 Woodland Drive, Suite A</v>
      </c>
      <c r="AA28" t="str">
        <f>""</f>
        <v/>
      </c>
      <c r="AB28" t="str">
        <f>"INDIANAPOLIS"</f>
        <v>INDIANAPOLIS</v>
      </c>
      <c r="AC28" t="str">
        <f>"IN"</f>
        <v>IN</v>
      </c>
      <c r="AD28" s="7" t="str">
        <f>"46278"</f>
        <v>46278</v>
      </c>
      <c r="AE28" t="str">
        <f t="shared" si="1"/>
        <v>UNITED STATES OF AMERICA</v>
      </c>
      <c r="AF28" t="str">
        <f>""</f>
        <v/>
      </c>
      <c r="AG28" s="9" t="str">
        <f>"317-536-5166"</f>
        <v>317-536-5166</v>
      </c>
      <c r="AH28" t="str">
        <f>""</f>
        <v/>
      </c>
      <c r="AI28" t="str">
        <f>"300685866"</f>
        <v>300685866</v>
      </c>
      <c r="AJ28" t="str">
        <f>"446110"</f>
        <v>446110</v>
      </c>
      <c r="AK28" t="s">
        <v>83</v>
      </c>
      <c r="AL28" t="s">
        <v>83</v>
      </c>
      <c r="AM28" t="s">
        <v>84</v>
      </c>
      <c r="AN28" t="s">
        <v>83</v>
      </c>
      <c r="AQ28" t="str">
        <f>"Physical Therapist"</f>
        <v>Physical Therapist</v>
      </c>
      <c r="AR28" t="str">
        <f>"29-1123"</f>
        <v>29-1123</v>
      </c>
      <c r="AS28" t="str">
        <f>"Physical Therapists"</f>
        <v>Physical Therapists</v>
      </c>
      <c r="AT28" t="str">
        <f>"Director of Rehab"</f>
        <v>Director of Rehab</v>
      </c>
      <c r="AU28" t="s">
        <v>83</v>
      </c>
      <c r="AV28" t="str">
        <f>""</f>
        <v/>
      </c>
      <c r="AW28" t="str">
        <f>"None"</f>
        <v>None</v>
      </c>
      <c r="AX28" t="s">
        <v>83</v>
      </c>
      <c r="AY28" t="str">
        <f>""</f>
        <v/>
      </c>
      <c r="AZ28" t="s">
        <v>107</v>
      </c>
      <c r="BA28" t="s">
        <v>84</v>
      </c>
      <c r="BB28" t="s">
        <v>243</v>
      </c>
      <c r="BC28" t="s">
        <v>83</v>
      </c>
      <c r="BE28" t="s">
        <v>83</v>
      </c>
      <c r="BH28" t="s">
        <v>82</v>
      </c>
      <c r="BI28">
        <v>2</v>
      </c>
      <c r="BJ28" t="s">
        <v>244</v>
      </c>
      <c r="BK28" t="s">
        <v>245</v>
      </c>
      <c r="BL28" t="str">
        <f>"Harlem Center for Nursing and Rehabilitation"</f>
        <v>Harlem Center for Nursing and Rehabilitation</v>
      </c>
      <c r="BM28" t="str">
        <f>"30 W 138th St"</f>
        <v>30 W 138th St</v>
      </c>
      <c r="BN28" t="str">
        <f>"New York"</f>
        <v>New York</v>
      </c>
      <c r="BO28" t="s">
        <v>246</v>
      </c>
      <c r="BP28" t="s">
        <v>119</v>
      </c>
      <c r="BQ28" s="7" t="str">
        <f>"10037"</f>
        <v>10037</v>
      </c>
      <c r="BR28" t="s">
        <v>83</v>
      </c>
      <c r="BS28" t="str">
        <f>""</f>
        <v/>
      </c>
    </row>
    <row r="29" spans="1:71" ht="15" customHeight="1" x14ac:dyDescent="0.25">
      <c r="A29" t="s">
        <v>233</v>
      </c>
      <c r="B29" t="s">
        <v>80</v>
      </c>
      <c r="C29" s="1">
        <v>43547</v>
      </c>
      <c r="G29" s="1">
        <v>45617</v>
      </c>
      <c r="H29" t="s">
        <v>81</v>
      </c>
      <c r="I29" t="str">
        <f>"KWIATEK"</f>
        <v>KWIATEK</v>
      </c>
      <c r="J29" t="str">
        <f>"ERICKA"</f>
        <v>ERICKA</v>
      </c>
      <c r="K29" t="str">
        <f>"N"</f>
        <v>N</v>
      </c>
      <c r="L29" t="str">
        <f>"PERM PROGRAM MANAGER"</f>
        <v>PERM PROGRAM MANAGER</v>
      </c>
      <c r="M29" t="str">
        <f>"2101 WILSON BLVD."</f>
        <v>2101 WILSON BLVD.</v>
      </c>
      <c r="N29" t="str">
        <f>"SUITE 1100"</f>
        <v>SUITE 1100</v>
      </c>
      <c r="O29" t="str">
        <f>"ARLINGTON"</f>
        <v>ARLINGTON</v>
      </c>
      <c r="P29" t="str">
        <f>"VA"</f>
        <v>VA</v>
      </c>
      <c r="Q29" s="7" t="str">
        <f>"22201"</f>
        <v>22201</v>
      </c>
      <c r="R29" t="str">
        <f t="shared" si="2"/>
        <v>UNITED STATES OF AMERICA</v>
      </c>
      <c r="S29" t="str">
        <f>""</f>
        <v/>
      </c>
      <c r="T29" s="7" t="str">
        <f>"703-678-4000"</f>
        <v>703-678-4000</v>
      </c>
      <c r="U29" t="str">
        <f>""</f>
        <v/>
      </c>
      <c r="V29" s="9" t="str">
        <f>"703-678-4477"</f>
        <v>703-678-4477</v>
      </c>
      <c r="W29" t="str">
        <f>"ERICKA.ICERT@EIGLAW.COM"</f>
        <v>ERICKA.ICERT@EIGLAW.COM</v>
      </c>
      <c r="X29" t="str">
        <f>"TWITTER, INC."</f>
        <v>TWITTER, INC.</v>
      </c>
      <c r="Y29" t="str">
        <f>""</f>
        <v/>
      </c>
      <c r="Z29" t="str">
        <f>"1355 MARKET ST."</f>
        <v>1355 MARKET ST.</v>
      </c>
      <c r="AA29" t="str">
        <f>"SUITE 900"</f>
        <v>SUITE 900</v>
      </c>
      <c r="AB29" t="str">
        <f>"SAN FRANCISCO"</f>
        <v>SAN FRANCISCO</v>
      </c>
      <c r="AC29" t="str">
        <f>"CA"</f>
        <v>CA</v>
      </c>
      <c r="AD29" s="7" t="str">
        <f>"94103"</f>
        <v>94103</v>
      </c>
      <c r="AE29" t="str">
        <f t="shared" si="1"/>
        <v>UNITED STATES OF AMERICA</v>
      </c>
      <c r="AF29" t="str">
        <f>""</f>
        <v/>
      </c>
      <c r="AG29" s="9" t="str">
        <f>"415-336-5063"</f>
        <v>415-336-5063</v>
      </c>
      <c r="AH29" t="str">
        <f>""</f>
        <v/>
      </c>
      <c r="AI29" t="str">
        <f>"208913779"</f>
        <v>208913779</v>
      </c>
      <c r="AJ29" t="str">
        <f>"541511"</f>
        <v>541511</v>
      </c>
      <c r="AK29" t="s">
        <v>83</v>
      </c>
      <c r="AL29" t="s">
        <v>83</v>
      </c>
      <c r="AM29" t="s">
        <v>84</v>
      </c>
      <c r="AN29" t="s">
        <v>83</v>
      </c>
      <c r="AQ29" t="str">
        <f>"Software Engineer II"</f>
        <v>Software Engineer II</v>
      </c>
      <c r="AR29" t="str">
        <f>"15-1132"</f>
        <v>15-1132</v>
      </c>
      <c r="AS29" t="str">
        <f>"Software Developers, Applications"</f>
        <v>Software Developers, Applications</v>
      </c>
      <c r="AT29" t="str">
        <f>"SR EM"</f>
        <v>SR EM</v>
      </c>
      <c r="AU29" t="s">
        <v>82</v>
      </c>
      <c r="AV29" t="str">
        <f>"24"</f>
        <v>24</v>
      </c>
      <c r="AW29" t="str">
        <f>"Subordinate"</f>
        <v>Subordinate</v>
      </c>
      <c r="AX29" t="s">
        <v>83</v>
      </c>
      <c r="AY29" t="str">
        <f>""</f>
        <v/>
      </c>
      <c r="AZ29" t="s">
        <v>93</v>
      </c>
      <c r="BB29" t="s">
        <v>234</v>
      </c>
      <c r="BC29" t="s">
        <v>83</v>
      </c>
      <c r="BE29" t="s">
        <v>83</v>
      </c>
      <c r="BH29" t="s">
        <v>82</v>
      </c>
      <c r="BI29">
        <v>24</v>
      </c>
      <c r="BJ29" t="s">
        <v>235</v>
      </c>
      <c r="BK29" s="2" t="s">
        <v>236</v>
      </c>
      <c r="BL29" t="str">
        <f>"1355 Market Street, Suite 900"</f>
        <v>1355 Market Street, Suite 900</v>
      </c>
      <c r="BM29" t="str">
        <f>""</f>
        <v/>
      </c>
      <c r="BN29" t="str">
        <f>"San Francisco"</f>
        <v>San Francisco</v>
      </c>
      <c r="BO29" t="s">
        <v>237</v>
      </c>
      <c r="BP29" t="s">
        <v>153</v>
      </c>
      <c r="BQ29" s="7" t="str">
        <f>"94103"</f>
        <v>94103</v>
      </c>
      <c r="BR29" t="s">
        <v>83</v>
      </c>
      <c r="BS29" t="str">
        <f>""</f>
        <v/>
      </c>
    </row>
    <row r="30" spans="1:71" ht="15" customHeight="1" x14ac:dyDescent="0.25">
      <c r="A30" t="s">
        <v>238</v>
      </c>
      <c r="B30" t="s">
        <v>80</v>
      </c>
      <c r="C30" s="1">
        <v>43547</v>
      </c>
      <c r="G30" s="1">
        <v>45617</v>
      </c>
      <c r="H30" t="s">
        <v>81</v>
      </c>
      <c r="I30" t="str">
        <f>"GARCIA"</f>
        <v>GARCIA</v>
      </c>
      <c r="J30" t="str">
        <f>"MANUEL"</f>
        <v>MANUEL</v>
      </c>
      <c r="K30" t="str">
        <f>"N/A"</f>
        <v>N/A</v>
      </c>
      <c r="L30" t="str">
        <f>"PRESIDENT"</f>
        <v>PRESIDENT</v>
      </c>
      <c r="M30" t="str">
        <f>"7345 WOODLAND DRIVE SUITE A"</f>
        <v>7345 WOODLAND DRIVE SUITE A</v>
      </c>
      <c r="N30" t="str">
        <f>""</f>
        <v/>
      </c>
      <c r="O30" t="str">
        <f>"INDIANAPOLIS"</f>
        <v>INDIANAPOLIS</v>
      </c>
      <c r="P30" t="str">
        <f>"IN"</f>
        <v>IN</v>
      </c>
      <c r="Q30" s="7" t="str">
        <f>"46278"</f>
        <v>46278</v>
      </c>
      <c r="R30" t="str">
        <f t="shared" si="2"/>
        <v>UNITED STATES OF AMERICA</v>
      </c>
      <c r="S30" t="str">
        <f>""</f>
        <v/>
      </c>
      <c r="T30" s="7" t="str">
        <f>"317-536-5166"</f>
        <v>317-536-5166</v>
      </c>
      <c r="U30" t="str">
        <f>""</f>
        <v/>
      </c>
      <c r="V30" s="9" t="str">
        <f>"317-550-1535"</f>
        <v>317-550-1535</v>
      </c>
      <c r="W30" t="str">
        <f>"manny@tcscare.com"</f>
        <v>manny@tcscare.com</v>
      </c>
      <c r="X30" t="str">
        <f>"PHARMANEEK, INC."</f>
        <v>PHARMANEEK, INC.</v>
      </c>
      <c r="Y30" t="str">
        <f>"TCS CARE"</f>
        <v>TCS CARE</v>
      </c>
      <c r="Z30" t="str">
        <f>"7345 WOODLAND DRIVE SUITE A"</f>
        <v>7345 WOODLAND DRIVE SUITE A</v>
      </c>
      <c r="AA30" t="str">
        <f>""</f>
        <v/>
      </c>
      <c r="AB30" t="str">
        <f>"INDIANAPOLIS"</f>
        <v>INDIANAPOLIS</v>
      </c>
      <c r="AC30" t="str">
        <f>"IN"</f>
        <v>IN</v>
      </c>
      <c r="AD30" s="7" t="str">
        <f>"46278"</f>
        <v>46278</v>
      </c>
      <c r="AE30" t="str">
        <f t="shared" si="1"/>
        <v>UNITED STATES OF AMERICA</v>
      </c>
      <c r="AF30" t="str">
        <f>""</f>
        <v/>
      </c>
      <c r="AG30" s="9" t="str">
        <f>"317-536-5166"</f>
        <v>317-536-5166</v>
      </c>
      <c r="AH30" t="str">
        <f>""</f>
        <v/>
      </c>
      <c r="AI30" t="str">
        <f>"300685866"</f>
        <v>300685866</v>
      </c>
      <c r="AJ30" t="str">
        <f>"446110"</f>
        <v>446110</v>
      </c>
      <c r="AK30" t="s">
        <v>83</v>
      </c>
      <c r="AL30" t="s">
        <v>83</v>
      </c>
      <c r="AM30" t="s">
        <v>84</v>
      </c>
      <c r="AN30" t="s">
        <v>83</v>
      </c>
      <c r="AQ30" t="str">
        <f>"Registered Nurse"</f>
        <v>Registered Nurse</v>
      </c>
      <c r="AR30" t="str">
        <f>"29-1141"</f>
        <v>29-1141</v>
      </c>
      <c r="AS30" t="str">
        <f>"Registered Nurses"</f>
        <v>Registered Nurses</v>
      </c>
      <c r="AT30" t="str">
        <f>"Director of Nursing"</f>
        <v>Director of Nursing</v>
      </c>
      <c r="AU30" t="s">
        <v>83</v>
      </c>
      <c r="AV30" t="str">
        <f>""</f>
        <v/>
      </c>
      <c r="AW30" t="str">
        <f>"None"</f>
        <v>None</v>
      </c>
      <c r="AX30" t="s">
        <v>83</v>
      </c>
      <c r="AY30" t="str">
        <f>""</f>
        <v/>
      </c>
      <c r="AZ30" t="s">
        <v>107</v>
      </c>
      <c r="BA30" t="s">
        <v>84</v>
      </c>
      <c r="BB30" t="s">
        <v>211</v>
      </c>
      <c r="BC30" t="s">
        <v>83</v>
      </c>
      <c r="BE30" t="s">
        <v>83</v>
      </c>
      <c r="BH30" t="s">
        <v>83</v>
      </c>
      <c r="BK30" s="2" t="s">
        <v>239</v>
      </c>
      <c r="BL30" t="str">
        <f>"Four Corners Regional Health Center"</f>
        <v>Four Corners Regional Health Center</v>
      </c>
      <c r="BM30" t="str">
        <f>"US Hwy 160 &amp; Navajo Route 35"</f>
        <v>US Hwy 160 &amp; Navajo Route 35</v>
      </c>
      <c r="BN30" t="str">
        <f>"Teec Nos Pos"</f>
        <v>Teec Nos Pos</v>
      </c>
      <c r="BO30" t="s">
        <v>240</v>
      </c>
      <c r="BP30" t="s">
        <v>241</v>
      </c>
      <c r="BQ30" s="7" t="str">
        <f>"86514"</f>
        <v>86514</v>
      </c>
      <c r="BR30" t="s">
        <v>83</v>
      </c>
      <c r="BS30" t="str">
        <f>""</f>
        <v/>
      </c>
    </row>
    <row r="31" spans="1:71" ht="15" customHeight="1" x14ac:dyDescent="0.25">
      <c r="A31" t="s">
        <v>224</v>
      </c>
      <c r="B31" t="s">
        <v>80</v>
      </c>
      <c r="C31" s="1">
        <v>43546</v>
      </c>
      <c r="G31" s="1">
        <v>45617</v>
      </c>
      <c r="H31" t="s">
        <v>81</v>
      </c>
      <c r="I31" t="str">
        <f>"DAVIS"</f>
        <v>DAVIS</v>
      </c>
      <c r="J31" t="str">
        <f>"LUCRECIA"</f>
        <v>LUCRECIA</v>
      </c>
      <c r="K31" t="str">
        <f>"N/A"</f>
        <v>N/A</v>
      </c>
      <c r="L31" t="str">
        <f>"Senior Attorney"</f>
        <v>Senior Attorney</v>
      </c>
      <c r="M31" t="str">
        <f>"3355 W. ALABAMA STREET, SUITE 1050"</f>
        <v>3355 W. ALABAMA STREET, SUITE 1050</v>
      </c>
      <c r="N31" t="str">
        <f>""</f>
        <v/>
      </c>
      <c r="O31" t="str">
        <f>"HOUSTON"</f>
        <v>HOUSTON</v>
      </c>
      <c r="P31" t="str">
        <f>"TX"</f>
        <v>TX</v>
      </c>
      <c r="Q31" s="7" t="str">
        <f>"77098"</f>
        <v>77098</v>
      </c>
      <c r="R31" t="str">
        <f t="shared" si="2"/>
        <v>UNITED STATES OF AMERICA</v>
      </c>
      <c r="S31" t="str">
        <f>""</f>
        <v/>
      </c>
      <c r="T31" s="7" t="str">
        <f>"713-360-5516"</f>
        <v>713-360-5516</v>
      </c>
      <c r="U31" t="str">
        <f>""</f>
        <v/>
      </c>
      <c r="V31" s="9" t="str">
        <f>"713-237-1301"</f>
        <v>713-237-1301</v>
      </c>
      <c r="W31" t="str">
        <f>"lhernandez@BALGLOBAL.COM"</f>
        <v>lhernandez@BALGLOBAL.COM</v>
      </c>
      <c r="X31" t="str">
        <f>"FMC TECHNOLOGIES, INC."</f>
        <v>FMC TECHNOLOGIES, INC.</v>
      </c>
      <c r="Y31" t="str">
        <f>""</f>
        <v/>
      </c>
      <c r="Z31" t="str">
        <f>"11740 KATY FREEWAY"</f>
        <v>11740 KATY FREEWAY</v>
      </c>
      <c r="AA31" t="str">
        <f>""</f>
        <v/>
      </c>
      <c r="AB31" t="str">
        <f>"HOUSTON"</f>
        <v>HOUSTON</v>
      </c>
      <c r="AC31" t="str">
        <f>"TX"</f>
        <v>TX</v>
      </c>
      <c r="AD31" s="7" t="str">
        <f>"77079"</f>
        <v>77079</v>
      </c>
      <c r="AE31" t="str">
        <f t="shared" si="1"/>
        <v>UNITED STATES OF AMERICA</v>
      </c>
      <c r="AF31" t="str">
        <f>""</f>
        <v/>
      </c>
      <c r="AG31" s="9" t="str">
        <f>"281-405-7005"</f>
        <v>281-405-7005</v>
      </c>
      <c r="AH31" t="str">
        <f>""</f>
        <v/>
      </c>
      <c r="AI31" t="str">
        <f>"364412642"</f>
        <v>364412642</v>
      </c>
      <c r="AJ31" t="str">
        <f>"333132"</f>
        <v>333132</v>
      </c>
      <c r="AK31" t="s">
        <v>83</v>
      </c>
      <c r="AL31" t="s">
        <v>83</v>
      </c>
      <c r="AM31" t="s">
        <v>84</v>
      </c>
      <c r="AN31" t="s">
        <v>82</v>
      </c>
      <c r="AO31" t="s">
        <v>225</v>
      </c>
      <c r="AP31" s="1">
        <v>43344</v>
      </c>
      <c r="AQ31" t="str">
        <f>"QHSE Data Principal Specialist"</f>
        <v>QHSE Data Principal Specialist</v>
      </c>
      <c r="AR31" t="str">
        <f>"17-2141"</f>
        <v>17-2141</v>
      </c>
      <c r="AS31" t="str">
        <f>"Mechanical Engineers"</f>
        <v>Mechanical Engineers</v>
      </c>
      <c r="AT31" t="str">
        <f>""</f>
        <v/>
      </c>
      <c r="AU31" t="s">
        <v>83</v>
      </c>
      <c r="AV31" t="str">
        <f>""</f>
        <v/>
      </c>
      <c r="AW31" t="str">
        <f>"None"</f>
        <v>None</v>
      </c>
      <c r="AX31" t="s">
        <v>83</v>
      </c>
      <c r="AY31" t="str">
        <f>""</f>
        <v/>
      </c>
      <c r="AZ31" t="s">
        <v>107</v>
      </c>
      <c r="BB31" t="s">
        <v>226</v>
      </c>
      <c r="BC31" t="s">
        <v>83</v>
      </c>
      <c r="BE31" t="s">
        <v>83</v>
      </c>
      <c r="BH31" t="s">
        <v>82</v>
      </c>
      <c r="BI31">
        <v>36</v>
      </c>
      <c r="BJ31" t="s">
        <v>226</v>
      </c>
      <c r="BK31" t="s">
        <v>226</v>
      </c>
      <c r="BL31" t="str">
        <f>"13460 Lockwood Rd."</f>
        <v>13460 Lockwood Rd.</v>
      </c>
      <c r="BM31" t="str">
        <f>""</f>
        <v/>
      </c>
      <c r="BN31" t="str">
        <f>"Houston"</f>
        <v>Houston</v>
      </c>
      <c r="BO31" t="s">
        <v>227</v>
      </c>
      <c r="BP31" t="s">
        <v>191</v>
      </c>
      <c r="BQ31" s="7" t="str">
        <f>"77044"</f>
        <v>77044</v>
      </c>
      <c r="BR31" t="s">
        <v>83</v>
      </c>
      <c r="BS31" t="str">
        <f>""</f>
        <v/>
      </c>
    </row>
    <row r="32" spans="1:71" ht="15" customHeight="1" x14ac:dyDescent="0.25">
      <c r="A32" t="s">
        <v>228</v>
      </c>
      <c r="B32" t="s">
        <v>80</v>
      </c>
      <c r="C32" s="1">
        <v>43546</v>
      </c>
      <c r="G32" s="1">
        <v>45617</v>
      </c>
      <c r="H32" t="s">
        <v>100</v>
      </c>
      <c r="I32" t="str">
        <f>"ROSSER"</f>
        <v>ROSSER</v>
      </c>
      <c r="J32" t="str">
        <f>"PENNY"</f>
        <v>PENNY</v>
      </c>
      <c r="K32" t="str">
        <f>"N/A"</f>
        <v>N/A</v>
      </c>
      <c r="L32" t="str">
        <f>"DIRECTOR, INTERNATIONAL SCHOLARS OFFICE"</f>
        <v>DIRECTOR, INTERNATIONAL SCHOLARS OFFICE</v>
      </c>
      <c r="M32" t="str">
        <f>"MIT, INTERNATIONAL SCHOLARS OFFICE"</f>
        <v>MIT, INTERNATIONAL SCHOLARS OFFICE</v>
      </c>
      <c r="N32" t="str">
        <f>"77 MASSACHUSETTS AVENUE, E18-209"</f>
        <v>77 MASSACHUSETTS AVENUE, E18-209</v>
      </c>
      <c r="O32" t="str">
        <f>"CAMBRIDGE"</f>
        <v>CAMBRIDGE</v>
      </c>
      <c r="P32" t="str">
        <f>"MA"</f>
        <v>MA</v>
      </c>
      <c r="Q32" s="7" t="str">
        <f>"02139"</f>
        <v>02139</v>
      </c>
      <c r="R32" t="str">
        <f t="shared" si="2"/>
        <v>UNITED STATES OF AMERICA</v>
      </c>
      <c r="S32" t="str">
        <f>"N/A"</f>
        <v>N/A</v>
      </c>
      <c r="T32" s="7" t="str">
        <f>"617-253-2851"</f>
        <v>617-253-2851</v>
      </c>
      <c r="U32" t="str">
        <f>""</f>
        <v/>
      </c>
      <c r="V32" s="9" t="str">
        <f>"617-253-6624"</f>
        <v>617-253-6624</v>
      </c>
      <c r="W32" t="str">
        <f>"PENNYSUN@MIT.EDU"</f>
        <v>PENNYSUN@MIT.EDU</v>
      </c>
      <c r="X32" t="str">
        <f>"MASSACHUSETTS INSTITUTE OF TECHNOLOGY"</f>
        <v>MASSACHUSETTS INSTITUTE OF TECHNOLOGY</v>
      </c>
      <c r="Y32" t="str">
        <f>"N/A"</f>
        <v>N/A</v>
      </c>
      <c r="Z32" t="str">
        <f>"77 MASSACHUSETTS AVENUE"</f>
        <v>77 MASSACHUSETTS AVENUE</v>
      </c>
      <c r="AA32" t="str">
        <f>"E18-209"</f>
        <v>E18-209</v>
      </c>
      <c r="AB32" t="str">
        <f>"CAMBRIDGE"</f>
        <v>CAMBRIDGE</v>
      </c>
      <c r="AC32" t="str">
        <f>"MA"</f>
        <v>MA</v>
      </c>
      <c r="AD32" s="7" t="str">
        <f>"02139"</f>
        <v>02139</v>
      </c>
      <c r="AE32" t="str">
        <f t="shared" si="1"/>
        <v>UNITED STATES OF AMERICA</v>
      </c>
      <c r="AF32" t="str">
        <f>"N/A"</f>
        <v>N/A</v>
      </c>
      <c r="AG32" s="9" t="str">
        <f>"617-253-2851"</f>
        <v>617-253-2851</v>
      </c>
      <c r="AH32" t="str">
        <f>""</f>
        <v/>
      </c>
      <c r="AI32" t="str">
        <f>"042103594"</f>
        <v>042103594</v>
      </c>
      <c r="AJ32" t="str">
        <f>"6113"</f>
        <v>6113</v>
      </c>
      <c r="AK32" t="s">
        <v>82</v>
      </c>
      <c r="AL32" t="s">
        <v>83</v>
      </c>
      <c r="AM32" t="s">
        <v>84</v>
      </c>
      <c r="AN32" t="s">
        <v>83</v>
      </c>
      <c r="AQ32" t="str">
        <f>"Assistant Professor"</f>
        <v>Assistant Professor</v>
      </c>
      <c r="AR32" t="str">
        <f>"25-1063"</f>
        <v>25-1063</v>
      </c>
      <c r="AS32" t="str">
        <f>"Economics Teachers, Postsecondary"</f>
        <v>Economics Teachers, Postsecondary</v>
      </c>
      <c r="AT32" t="str">
        <f>"Department Head, Economics Department"</f>
        <v>Department Head, Economics Department</v>
      </c>
      <c r="AU32" t="s">
        <v>82</v>
      </c>
      <c r="AV32" t="str">
        <f>"1"</f>
        <v>1</v>
      </c>
      <c r="AW32" t="str">
        <f>"Subordinate"</f>
        <v>Subordinate</v>
      </c>
      <c r="AX32" t="s">
        <v>82</v>
      </c>
      <c r="AY32" t="str">
        <f>"Travel to attend professional conferences in US and abroad; present research at conferences; collaborate with other professionals in the field."</f>
        <v>Travel to attend professional conferences in US and abroad; present research at conferences; collaborate with other professionals in the field.</v>
      </c>
      <c r="AZ32" t="s">
        <v>114</v>
      </c>
      <c r="BA32" t="s">
        <v>84</v>
      </c>
      <c r="BB32" t="s">
        <v>222</v>
      </c>
      <c r="BC32" t="s">
        <v>83</v>
      </c>
      <c r="BE32" t="s">
        <v>83</v>
      </c>
      <c r="BH32" t="s">
        <v>83</v>
      </c>
      <c r="BK32" t="s">
        <v>84</v>
      </c>
      <c r="BL32" t="str">
        <f>"77 Massachsetts Avenue"</f>
        <v>77 Massachsetts Avenue</v>
      </c>
      <c r="BM32" t="str">
        <f>"Building E52"</f>
        <v>Building E52</v>
      </c>
      <c r="BN32" t="str">
        <f>"Cambridge"</f>
        <v>Cambridge</v>
      </c>
      <c r="BO32" t="s">
        <v>223</v>
      </c>
      <c r="BP32" t="s">
        <v>137</v>
      </c>
      <c r="BQ32" s="7" t="str">
        <f>"02139"</f>
        <v>02139</v>
      </c>
      <c r="BR32" t="s">
        <v>83</v>
      </c>
      <c r="BS32" t="str">
        <f>""</f>
        <v/>
      </c>
    </row>
    <row r="33" spans="1:76" ht="15" customHeight="1" x14ac:dyDescent="0.25">
      <c r="A33" t="s">
        <v>229</v>
      </c>
      <c r="B33" t="s">
        <v>80</v>
      </c>
      <c r="C33" s="1">
        <v>43546</v>
      </c>
      <c r="G33" s="1">
        <v>45617</v>
      </c>
      <c r="H33" t="s">
        <v>121</v>
      </c>
      <c r="I33" t="str">
        <f>"EGUSQUIZA"</f>
        <v>EGUSQUIZA</v>
      </c>
      <c r="J33" t="str">
        <f>"YON"</f>
        <v>YON</v>
      </c>
      <c r="K33" t="str">
        <f>"CARL"</f>
        <v>CARL</v>
      </c>
      <c r="L33" t="str">
        <f>"OWNER"</f>
        <v>OWNER</v>
      </c>
      <c r="M33" t="str">
        <f>"7712 N SPIRIT LAKE RD"</f>
        <v>7712 N SPIRIT LAKE RD</v>
      </c>
      <c r="N33" t="str">
        <f>""</f>
        <v/>
      </c>
      <c r="O33" t="str">
        <f>"SPIRIT LAKE"</f>
        <v>SPIRIT LAKE</v>
      </c>
      <c r="P33" t="str">
        <f>"ID"</f>
        <v>ID</v>
      </c>
      <c r="Q33" s="7" t="str">
        <f>"83869"</f>
        <v>83869</v>
      </c>
      <c r="R33" t="str">
        <f t="shared" si="2"/>
        <v>UNITED STATES OF AMERICA</v>
      </c>
      <c r="S33" t="str">
        <f>""</f>
        <v/>
      </c>
      <c r="T33" s="7" t="str">
        <f>"480-341-9187"</f>
        <v>480-341-9187</v>
      </c>
      <c r="U33" t="str">
        <f>""</f>
        <v/>
      </c>
      <c r="V33" s="9" t="str">
        <f>""</f>
        <v/>
      </c>
      <c r="W33" t="str">
        <f>"YON@CARONWEST.COM"</f>
        <v>YON@CARONWEST.COM</v>
      </c>
      <c r="X33" t="str">
        <f>"SPIRIT LAKE RESORT LLC"</f>
        <v>SPIRIT LAKE RESORT LLC</v>
      </c>
      <c r="Y33" t="str">
        <f>"SEDLMAYERS SPIRIT LAKE RESORT"</f>
        <v>SEDLMAYERS SPIRIT LAKE RESORT</v>
      </c>
      <c r="Z33" t="str">
        <f>"7712 N SPIRIT LAKE RD"</f>
        <v>7712 N SPIRIT LAKE RD</v>
      </c>
      <c r="AA33" t="str">
        <f>""</f>
        <v/>
      </c>
      <c r="AB33" t="str">
        <f>"SPIRIT LAKE"</f>
        <v>SPIRIT LAKE</v>
      </c>
      <c r="AC33" t="str">
        <f>"ID"</f>
        <v>ID</v>
      </c>
      <c r="AD33" s="7" t="str">
        <f>"83869"</f>
        <v>83869</v>
      </c>
      <c r="AE33" t="str">
        <f t="shared" si="1"/>
        <v>UNITED STATES OF AMERICA</v>
      </c>
      <c r="AF33" t="str">
        <f>""</f>
        <v/>
      </c>
      <c r="AG33" s="9" t="str">
        <f>"480-341-9187"</f>
        <v>480-341-9187</v>
      </c>
      <c r="AH33" t="str">
        <f>""</f>
        <v/>
      </c>
      <c r="AI33" t="str">
        <f>"811067759"</f>
        <v>811067759</v>
      </c>
      <c r="AJ33" t="str">
        <f>"7221"</f>
        <v>7221</v>
      </c>
      <c r="AK33" t="s">
        <v>83</v>
      </c>
      <c r="AL33" t="s">
        <v>83</v>
      </c>
      <c r="AM33" t="s">
        <v>84</v>
      </c>
      <c r="AN33" t="s">
        <v>83</v>
      </c>
      <c r="AQ33" t="str">
        <f>"Waiter"</f>
        <v>Waiter</v>
      </c>
      <c r="AR33" t="str">
        <f>"35-3031"</f>
        <v>35-3031</v>
      </c>
      <c r="AS33" t="str">
        <f>"Waiters and Waitresses"</f>
        <v>Waiters and Waitresses</v>
      </c>
      <c r="AT33" t="str">
        <f>""</f>
        <v/>
      </c>
      <c r="AU33" t="s">
        <v>83</v>
      </c>
      <c r="AV33" t="str">
        <f>""</f>
        <v/>
      </c>
      <c r="AW33" t="str">
        <f>"None"</f>
        <v>None</v>
      </c>
      <c r="AX33" t="s">
        <v>83</v>
      </c>
      <c r="AY33" t="str">
        <f>""</f>
        <v/>
      </c>
      <c r="AZ33" t="s">
        <v>123</v>
      </c>
      <c r="BC33" t="s">
        <v>83</v>
      </c>
      <c r="BE33" t="s">
        <v>83</v>
      </c>
      <c r="BH33" t="s">
        <v>83</v>
      </c>
      <c r="BK33" t="s">
        <v>230</v>
      </c>
      <c r="BL33" t="str">
        <f>"7712 N Spirit Lake RD"</f>
        <v>7712 N Spirit Lake RD</v>
      </c>
      <c r="BM33" t="str">
        <f>""</f>
        <v/>
      </c>
      <c r="BN33" t="str">
        <f>"Spirit Lake"</f>
        <v>Spirit Lake</v>
      </c>
      <c r="BO33" t="s">
        <v>231</v>
      </c>
      <c r="BP33" t="s">
        <v>232</v>
      </c>
      <c r="BQ33" s="7" t="str">
        <f>"83869"</f>
        <v>83869</v>
      </c>
      <c r="BR33" t="s">
        <v>83</v>
      </c>
      <c r="BS33" t="str">
        <f>""</f>
        <v/>
      </c>
    </row>
    <row r="34" spans="1:76" ht="15" customHeight="1" x14ac:dyDescent="0.25">
      <c r="A34" t="s">
        <v>221</v>
      </c>
      <c r="B34" t="s">
        <v>80</v>
      </c>
      <c r="C34" s="1">
        <v>43545</v>
      </c>
      <c r="G34" s="1">
        <v>45617</v>
      </c>
      <c r="H34" t="s">
        <v>100</v>
      </c>
      <c r="I34" t="str">
        <f>"ROSSER"</f>
        <v>ROSSER</v>
      </c>
      <c r="J34" t="str">
        <f>"PENNY"</f>
        <v>PENNY</v>
      </c>
      <c r="K34" t="str">
        <f>"N/A"</f>
        <v>N/A</v>
      </c>
      <c r="L34" t="str">
        <f>"DIRECTOR, INTERNATIONAL SCHOLARS OFFICE"</f>
        <v>DIRECTOR, INTERNATIONAL SCHOLARS OFFICE</v>
      </c>
      <c r="M34" t="str">
        <f>"MIT, INTERNATIONAL SCHOLARS OFFICE"</f>
        <v>MIT, INTERNATIONAL SCHOLARS OFFICE</v>
      </c>
      <c r="N34" t="str">
        <f>"77 MASSACHUSETTS AVENUE, E18-209"</f>
        <v>77 MASSACHUSETTS AVENUE, E18-209</v>
      </c>
      <c r="O34" t="str">
        <f>"CAMBRIDGE"</f>
        <v>CAMBRIDGE</v>
      </c>
      <c r="P34" t="str">
        <f>"MA"</f>
        <v>MA</v>
      </c>
      <c r="Q34" s="7" t="str">
        <f>"02139"</f>
        <v>02139</v>
      </c>
      <c r="R34" t="str">
        <f t="shared" si="2"/>
        <v>UNITED STATES OF AMERICA</v>
      </c>
      <c r="S34" t="str">
        <f>"N/A"</f>
        <v>N/A</v>
      </c>
      <c r="T34" s="7" t="str">
        <f>"617-253-2851"</f>
        <v>617-253-2851</v>
      </c>
      <c r="U34" t="str">
        <f>""</f>
        <v/>
      </c>
      <c r="V34" s="9" t="str">
        <f>"617-253-6624"</f>
        <v>617-253-6624</v>
      </c>
      <c r="W34" t="str">
        <f>"PENNYSUN@MIT.EDU"</f>
        <v>PENNYSUN@MIT.EDU</v>
      </c>
      <c r="X34" t="str">
        <f>"MASSACHUSETTS INSTITUTE OF TECHNOLOGY"</f>
        <v>MASSACHUSETTS INSTITUTE OF TECHNOLOGY</v>
      </c>
      <c r="Y34" t="str">
        <f>"N/A"</f>
        <v>N/A</v>
      </c>
      <c r="Z34" t="str">
        <f>"77 MASSACHUSETTS AVENUE"</f>
        <v>77 MASSACHUSETTS AVENUE</v>
      </c>
      <c r="AA34" t="str">
        <f>"E18-209"</f>
        <v>E18-209</v>
      </c>
      <c r="AB34" t="str">
        <f>"CAMBRIDGE"</f>
        <v>CAMBRIDGE</v>
      </c>
      <c r="AC34" t="str">
        <f>"MA"</f>
        <v>MA</v>
      </c>
      <c r="AD34" s="7" t="str">
        <f>"02139"</f>
        <v>02139</v>
      </c>
      <c r="AE34" t="str">
        <f t="shared" ref="AE34:AE65" si="3">"UNITED STATES OF AMERICA"</f>
        <v>UNITED STATES OF AMERICA</v>
      </c>
      <c r="AF34" t="str">
        <f>"N/A"</f>
        <v>N/A</v>
      </c>
      <c r="AG34" s="9" t="str">
        <f>"617-253-2851"</f>
        <v>617-253-2851</v>
      </c>
      <c r="AH34" t="str">
        <f>""</f>
        <v/>
      </c>
      <c r="AI34" t="str">
        <f>"042103594"</f>
        <v>042103594</v>
      </c>
      <c r="AJ34" t="str">
        <f>"6113"</f>
        <v>6113</v>
      </c>
      <c r="AK34" t="s">
        <v>82</v>
      </c>
      <c r="AL34" t="s">
        <v>83</v>
      </c>
      <c r="AM34" t="s">
        <v>84</v>
      </c>
      <c r="AN34" t="s">
        <v>83</v>
      </c>
      <c r="AQ34" t="str">
        <f>"Assistant Professor"</f>
        <v>Assistant Professor</v>
      </c>
      <c r="AR34" t="str">
        <f>"25-1063"</f>
        <v>25-1063</v>
      </c>
      <c r="AS34" t="str">
        <f>"Economics Teachers, Postsecondary"</f>
        <v>Economics Teachers, Postsecondary</v>
      </c>
      <c r="AT34" t="str">
        <f>"Department Head, Department of Economics"</f>
        <v>Department Head, Department of Economics</v>
      </c>
      <c r="AU34" t="s">
        <v>82</v>
      </c>
      <c r="AV34" t="str">
        <f>"1"</f>
        <v>1</v>
      </c>
      <c r="AW34" t="str">
        <f>"Subordinate"</f>
        <v>Subordinate</v>
      </c>
      <c r="AX34" t="s">
        <v>83</v>
      </c>
      <c r="AY34" t="str">
        <f>""</f>
        <v/>
      </c>
      <c r="AZ34" t="s">
        <v>114</v>
      </c>
      <c r="BB34" t="s">
        <v>222</v>
      </c>
      <c r="BC34" t="s">
        <v>83</v>
      </c>
      <c r="BE34" t="s">
        <v>83</v>
      </c>
      <c r="BH34" t="s">
        <v>83</v>
      </c>
      <c r="BK34" t="s">
        <v>84</v>
      </c>
      <c r="BL34" t="str">
        <f>"77 Massachusetts Avenue"</f>
        <v>77 Massachusetts Avenue</v>
      </c>
      <c r="BM34" t="str">
        <f>"E52"</f>
        <v>E52</v>
      </c>
      <c r="BN34" t="str">
        <f>"Cambridge"</f>
        <v>Cambridge</v>
      </c>
      <c r="BO34" t="s">
        <v>223</v>
      </c>
      <c r="BP34" t="s">
        <v>137</v>
      </c>
      <c r="BQ34" s="7" t="str">
        <f>"02139"</f>
        <v>02139</v>
      </c>
      <c r="BR34" t="s">
        <v>83</v>
      </c>
      <c r="BS34" t="str">
        <f>""</f>
        <v/>
      </c>
    </row>
    <row r="35" spans="1:76" ht="15" customHeight="1" x14ac:dyDescent="0.25">
      <c r="A35" t="s">
        <v>214</v>
      </c>
      <c r="B35" t="s">
        <v>80</v>
      </c>
      <c r="C35" s="1">
        <v>43543</v>
      </c>
      <c r="G35" s="1">
        <v>45617</v>
      </c>
      <c r="H35" t="s">
        <v>81</v>
      </c>
      <c r="I35" t="str">
        <f>"Kurten"</f>
        <v>Kurten</v>
      </c>
      <c r="J35" t="str">
        <f>"Benjamin"</f>
        <v>Benjamin</v>
      </c>
      <c r="K35" t="str">
        <f>"T."</f>
        <v>T.</v>
      </c>
      <c r="L35" t="str">
        <f>"Attorney"</f>
        <v>Attorney</v>
      </c>
      <c r="M35" t="str">
        <f>"1000 N. Water Street"</f>
        <v>1000 N. Water Street</v>
      </c>
      <c r="N35" t="str">
        <f>"Suite 1700"</f>
        <v>Suite 1700</v>
      </c>
      <c r="O35" t="str">
        <f>"Milwaukee"</f>
        <v>Milwaukee</v>
      </c>
      <c r="P35" t="str">
        <f>"WI"</f>
        <v>WI</v>
      </c>
      <c r="Q35" s="7" t="str">
        <f>"53202"</f>
        <v>53202</v>
      </c>
      <c r="R35" t="str">
        <f t="shared" si="2"/>
        <v>UNITED STATES OF AMERICA</v>
      </c>
      <c r="S35" t="str">
        <f>""</f>
        <v/>
      </c>
      <c r="T35" s="7" t="str">
        <f>"414-298-8222"</f>
        <v>414-298-8222</v>
      </c>
      <c r="U35" t="str">
        <f>""</f>
        <v/>
      </c>
      <c r="V35" s="9" t="str">
        <f>"414-298-8097"</f>
        <v>414-298-8097</v>
      </c>
      <c r="W35" t="str">
        <f>"bkurten@reinhartlaw.com"</f>
        <v>bkurten@reinhartlaw.com</v>
      </c>
      <c r="X35" t="str">
        <f>"MCG Health, LLC"</f>
        <v>MCG Health, LLC</v>
      </c>
      <c r="Y35" t="str">
        <f>"MCG Health"</f>
        <v>MCG Health</v>
      </c>
      <c r="Z35" t="str">
        <f>"901 Fifth Avenue"</f>
        <v>901 Fifth Avenue</v>
      </c>
      <c r="AA35" t="str">
        <f>"Suite 2000"</f>
        <v>Suite 2000</v>
      </c>
      <c r="AB35" t="str">
        <f>"Seattle"</f>
        <v>Seattle</v>
      </c>
      <c r="AC35" t="str">
        <f>"WA"</f>
        <v>WA</v>
      </c>
      <c r="AD35" s="7" t="str">
        <f>"98164"</f>
        <v>98164</v>
      </c>
      <c r="AE35" t="str">
        <f t="shared" si="3"/>
        <v>UNITED STATES OF AMERICA</v>
      </c>
      <c r="AF35" t="str">
        <f>""</f>
        <v/>
      </c>
      <c r="AG35" s="9" t="str">
        <f>"206-389-5407"</f>
        <v>206-389-5407</v>
      </c>
      <c r="AH35" t="str">
        <f>""</f>
        <v/>
      </c>
      <c r="AI35" t="str">
        <f>"331104821"</f>
        <v>331104821</v>
      </c>
      <c r="AJ35" t="str">
        <f>"541511"</f>
        <v>541511</v>
      </c>
      <c r="AK35" t="s">
        <v>83</v>
      </c>
      <c r="AL35" t="s">
        <v>83</v>
      </c>
      <c r="AM35" t="s">
        <v>84</v>
      </c>
      <c r="AN35" t="s">
        <v>82</v>
      </c>
      <c r="AO35" t="s">
        <v>215</v>
      </c>
      <c r="AP35" s="1">
        <v>43375</v>
      </c>
      <c r="AQ35" t="str">
        <f>"Technical Services Analyst II [26-252 Prd S Analyst/Engr II]"</f>
        <v>Technical Services Analyst II [26-252 Prd S Analyst/Engr II]</v>
      </c>
      <c r="AR35" t="str">
        <f>"15-1132"</f>
        <v>15-1132</v>
      </c>
      <c r="AS35" t="str">
        <f>"Software Developers, Applications"</f>
        <v>Software Developers, Applications</v>
      </c>
      <c r="AT35" t="str">
        <f>"Sr. Manager Technical Support Services"</f>
        <v>Sr. Manager Technical Support Services</v>
      </c>
      <c r="AU35" t="s">
        <v>83</v>
      </c>
      <c r="AV35" t="str">
        <f>""</f>
        <v/>
      </c>
      <c r="AW35" t="str">
        <f>"None"</f>
        <v>None</v>
      </c>
      <c r="AX35" t="s">
        <v>83</v>
      </c>
      <c r="AY35" t="str">
        <f>""</f>
        <v/>
      </c>
      <c r="AZ35" t="s">
        <v>107</v>
      </c>
      <c r="BB35" t="s">
        <v>216</v>
      </c>
      <c r="BC35" t="s">
        <v>83</v>
      </c>
      <c r="BE35" t="s">
        <v>83</v>
      </c>
      <c r="BH35" t="s">
        <v>82</v>
      </c>
      <c r="BI35">
        <v>60</v>
      </c>
      <c r="BJ35" t="s">
        <v>217</v>
      </c>
      <c r="BK35" t="s">
        <v>218</v>
      </c>
      <c r="BL35" t="str">
        <f>"901 Fifth Avenue"</f>
        <v>901 Fifth Avenue</v>
      </c>
      <c r="BM35" t="str">
        <f>"Suite 2000"</f>
        <v>Suite 2000</v>
      </c>
      <c r="BN35" t="str">
        <f>"Seattle"</f>
        <v>Seattle</v>
      </c>
      <c r="BO35" t="s">
        <v>219</v>
      </c>
      <c r="BP35" t="s">
        <v>220</v>
      </c>
      <c r="BQ35" s="7" t="str">
        <f>"98164"</f>
        <v>98164</v>
      </c>
      <c r="BR35" t="s">
        <v>83</v>
      </c>
      <c r="BS35" t="str">
        <f>""</f>
        <v/>
      </c>
    </row>
    <row r="36" spans="1:76" ht="15" customHeight="1" x14ac:dyDescent="0.25">
      <c r="A36" t="s">
        <v>209</v>
      </c>
      <c r="B36" t="s">
        <v>80</v>
      </c>
      <c r="C36" s="1">
        <v>43538</v>
      </c>
      <c r="G36" s="1">
        <v>45617</v>
      </c>
      <c r="H36" t="s">
        <v>81</v>
      </c>
      <c r="I36" t="str">
        <f>"Morrison"</f>
        <v>Morrison</v>
      </c>
      <c r="J36" t="str">
        <f>"James"</f>
        <v>James</v>
      </c>
      <c r="K36" t="str">
        <f>"E."</f>
        <v>E.</v>
      </c>
      <c r="L36" t="str">
        <f>"Attorney"</f>
        <v>Attorney</v>
      </c>
      <c r="M36" t="str">
        <f>"1001 Pennsylvania Avenue NW"</f>
        <v>1001 Pennsylvania Avenue NW</v>
      </c>
      <c r="N36" t="str">
        <f>"STE 1300 South"</f>
        <v>STE 1300 South</v>
      </c>
      <c r="O36" t="str">
        <f>"Washington"</f>
        <v>Washington</v>
      </c>
      <c r="P36" t="str">
        <f>"DC"</f>
        <v>DC</v>
      </c>
      <c r="Q36" s="7" t="str">
        <f>"20004"</f>
        <v>20004</v>
      </c>
      <c r="R36" t="str">
        <f t="shared" si="2"/>
        <v>UNITED STATES OF AMERICA</v>
      </c>
      <c r="S36" t="str">
        <f>""</f>
        <v/>
      </c>
      <c r="T36" s="7" t="str">
        <f>"202-572-8670"</f>
        <v>202-572-8670</v>
      </c>
      <c r="U36" t="str">
        <f>""</f>
        <v/>
      </c>
      <c r="V36" s="9" t="str">
        <f>"202-772-0921"</f>
        <v>202-772-0921</v>
      </c>
      <c r="W36" t="str">
        <f>"jmorrison@clarkhill.com"</f>
        <v>jmorrison@clarkhill.com</v>
      </c>
      <c r="X36" t="str">
        <f>"McAllen Hospitals, LP"</f>
        <v>McAllen Hospitals, LP</v>
      </c>
      <c r="Y36" t="str">
        <f>"South Texas Health System"</f>
        <v>South Texas Health System</v>
      </c>
      <c r="Z36" t="str">
        <f>"1400 W. Trenton Road"</f>
        <v>1400 W. Trenton Road</v>
      </c>
      <c r="AA36" t="str">
        <f>""</f>
        <v/>
      </c>
      <c r="AB36" t="str">
        <f>"Edinburg"</f>
        <v>Edinburg</v>
      </c>
      <c r="AC36" t="str">
        <f>"TX"</f>
        <v>TX</v>
      </c>
      <c r="AD36" s="7" t="str">
        <f>"78541"</f>
        <v>78541</v>
      </c>
      <c r="AE36" t="str">
        <f t="shared" si="3"/>
        <v>UNITED STATES OF AMERICA</v>
      </c>
      <c r="AF36" t="str">
        <f>""</f>
        <v/>
      </c>
      <c r="AG36" s="9" t="str">
        <f>"956-388-2111"</f>
        <v>956-388-2111</v>
      </c>
      <c r="AH36" t="str">
        <f>""</f>
        <v/>
      </c>
      <c r="AI36" t="str">
        <f>"233069260"</f>
        <v>233069260</v>
      </c>
      <c r="AJ36" t="str">
        <f>"622110"</f>
        <v>622110</v>
      </c>
      <c r="AK36" t="s">
        <v>83</v>
      </c>
      <c r="AL36" t="s">
        <v>83</v>
      </c>
      <c r="AM36" t="s">
        <v>84</v>
      </c>
      <c r="AN36" t="s">
        <v>83</v>
      </c>
      <c r="AQ36" t="str">
        <f>"Registered Nurse"</f>
        <v>Registered Nurse</v>
      </c>
      <c r="AR36" t="str">
        <f>"29-1141"</f>
        <v>29-1141</v>
      </c>
      <c r="AS36" t="str">
        <f>"Registered Nurse"</f>
        <v>Registered Nurse</v>
      </c>
      <c r="AT36" t="str">
        <f>"RN Director/Clinical Supervisor"</f>
        <v>RN Director/Clinical Supervisor</v>
      </c>
      <c r="AU36" t="s">
        <v>82</v>
      </c>
      <c r="AV36" t="str">
        <f>"7"</f>
        <v>7</v>
      </c>
      <c r="AW36" t="str">
        <f>"Subordinate"</f>
        <v>Subordinate</v>
      </c>
      <c r="AX36" t="s">
        <v>83</v>
      </c>
      <c r="AY36" t="str">
        <f>""</f>
        <v/>
      </c>
      <c r="AZ36" t="s">
        <v>210</v>
      </c>
      <c r="BB36" t="s">
        <v>211</v>
      </c>
      <c r="BC36" t="s">
        <v>83</v>
      </c>
      <c r="BE36" t="s">
        <v>83</v>
      </c>
      <c r="BH36" t="s">
        <v>83</v>
      </c>
      <c r="BK36" t="s">
        <v>212</v>
      </c>
      <c r="BL36" t="str">
        <f>"301 W. Expressway 83"</f>
        <v>301 W. Expressway 83</v>
      </c>
      <c r="BM36" t="str">
        <f>""</f>
        <v/>
      </c>
      <c r="BN36" t="str">
        <f>"McAllen"</f>
        <v>McAllen</v>
      </c>
      <c r="BO36" t="s">
        <v>213</v>
      </c>
      <c r="BP36" t="s">
        <v>191</v>
      </c>
      <c r="BQ36" s="7" t="str">
        <f>"78501"</f>
        <v>78501</v>
      </c>
      <c r="BR36" t="s">
        <v>83</v>
      </c>
      <c r="BS36" t="str">
        <f>""</f>
        <v/>
      </c>
    </row>
    <row r="37" spans="1:76" ht="15" customHeight="1" x14ac:dyDescent="0.25">
      <c r="A37" t="s">
        <v>201</v>
      </c>
      <c r="B37" t="s">
        <v>80</v>
      </c>
      <c r="C37" s="1">
        <v>43536</v>
      </c>
      <c r="G37" s="1">
        <v>45617</v>
      </c>
      <c r="H37" t="s">
        <v>81</v>
      </c>
      <c r="I37" t="str">
        <f>"GOTCHER"</f>
        <v>GOTCHER</v>
      </c>
      <c r="J37" t="str">
        <f>"DANIELLE"</f>
        <v>DANIELLE</v>
      </c>
      <c r="K37" t="str">
        <f>"H"</f>
        <v>H</v>
      </c>
      <c r="L37" t="str">
        <f>"ATTORNEY"</f>
        <v>ATTORNEY</v>
      </c>
      <c r="M37" t="str">
        <f>"26775 MALIBU HILLS ROAD, SUITE 150"</f>
        <v>26775 MALIBU HILLS ROAD, SUITE 150</v>
      </c>
      <c r="N37" t="str">
        <f>"Re: TriNet USA, Inc."</f>
        <v>Re: TriNet USA, Inc.</v>
      </c>
      <c r="O37" t="str">
        <f>"CALABASAS HILLS"</f>
        <v>CALABASAS HILLS</v>
      </c>
      <c r="P37" t="str">
        <f>"CA"</f>
        <v>CA</v>
      </c>
      <c r="Q37" s="7" t="str">
        <f>"91301"</f>
        <v>91301</v>
      </c>
      <c r="R37" t="str">
        <f t="shared" si="2"/>
        <v>UNITED STATES OF AMERICA</v>
      </c>
      <c r="S37" t="str">
        <f>""</f>
        <v/>
      </c>
      <c r="T37" s="7" t="str">
        <f>"818-914-6482"</f>
        <v>818-914-6482</v>
      </c>
      <c r="U37" t="str">
        <f>""</f>
        <v/>
      </c>
      <c r="V37" s="9" t="str">
        <f>"818-478-3450"</f>
        <v>818-478-3450</v>
      </c>
      <c r="W37" t="str">
        <f>"PERM@GOTCHERLAW.COM"</f>
        <v>PERM@GOTCHERLAW.COM</v>
      </c>
      <c r="X37" t="str">
        <f>"TriNet USA, Inc."</f>
        <v>TriNet USA, Inc.</v>
      </c>
      <c r="Y37" t="str">
        <f>""</f>
        <v/>
      </c>
      <c r="Z37" t="str">
        <f>"One Park Place"</f>
        <v>One Park Place</v>
      </c>
      <c r="AA37" t="str">
        <f>"Suite 600"</f>
        <v>Suite 600</v>
      </c>
      <c r="AB37" t="str">
        <f>"Dublin"</f>
        <v>Dublin</v>
      </c>
      <c r="AC37" t="str">
        <f>"CA"</f>
        <v>CA</v>
      </c>
      <c r="AD37" s="7" t="str">
        <f>"94568"</f>
        <v>94568</v>
      </c>
      <c r="AE37" t="str">
        <f t="shared" si="3"/>
        <v>UNITED STATES OF AMERICA</v>
      </c>
      <c r="AF37" t="str">
        <f>""</f>
        <v/>
      </c>
      <c r="AG37" s="9" t="str">
        <f>"510-352-5000"</f>
        <v>510-352-5000</v>
      </c>
      <c r="AH37" t="str">
        <f>""</f>
        <v/>
      </c>
      <c r="AI37" t="str">
        <f>"320480267"</f>
        <v>320480267</v>
      </c>
      <c r="AJ37" t="str">
        <f>"56133"</f>
        <v>56133</v>
      </c>
      <c r="AK37" t="s">
        <v>83</v>
      </c>
      <c r="AL37" t="s">
        <v>83</v>
      </c>
      <c r="AM37" t="s">
        <v>84</v>
      </c>
      <c r="AN37" t="s">
        <v>83</v>
      </c>
      <c r="AQ37" t="str">
        <f>"Sr. Software Engineer (DevOps)"</f>
        <v>Sr. Software Engineer (DevOps)</v>
      </c>
      <c r="AR37" t="str">
        <f>"15-1199"</f>
        <v>15-1199</v>
      </c>
      <c r="AS37" t="str">
        <f>"Computer Occupations, All Other"</f>
        <v>Computer Occupations, All Other</v>
      </c>
      <c r="AT37" t="str">
        <f>"Sr. Manager"</f>
        <v>Sr. Manager</v>
      </c>
      <c r="AU37" t="s">
        <v>83</v>
      </c>
      <c r="AV37" t="str">
        <f>""</f>
        <v/>
      </c>
      <c r="AW37" t="str">
        <f>"None"</f>
        <v>None</v>
      </c>
      <c r="AX37" t="s">
        <v>83</v>
      </c>
      <c r="AY37" t="str">
        <f>""</f>
        <v/>
      </c>
      <c r="AZ37" t="s">
        <v>93</v>
      </c>
      <c r="BB37" t="s">
        <v>202</v>
      </c>
      <c r="BC37" t="s">
        <v>83</v>
      </c>
      <c r="BE37" t="s">
        <v>83</v>
      </c>
      <c r="BH37" t="s">
        <v>82</v>
      </c>
      <c r="BI37">
        <v>36</v>
      </c>
      <c r="BJ37" t="s">
        <v>202</v>
      </c>
      <c r="BK37" s="2" t="s">
        <v>203</v>
      </c>
      <c r="BL37" t="str">
        <f>"12331-B Riata Trace Parkway"</f>
        <v>12331-B Riata Trace Parkway</v>
      </c>
      <c r="BM37" t="str">
        <f>"Bldg 4, Suite 300"</f>
        <v>Bldg 4, Suite 300</v>
      </c>
      <c r="BN37" t="str">
        <f>"Austin"</f>
        <v>Austin</v>
      </c>
      <c r="BO37" t="s">
        <v>190</v>
      </c>
      <c r="BP37" t="s">
        <v>191</v>
      </c>
      <c r="BQ37" s="7" t="str">
        <f>"78727"</f>
        <v>78727</v>
      </c>
      <c r="BR37" t="s">
        <v>83</v>
      </c>
      <c r="BS37" t="str">
        <f>""</f>
        <v/>
      </c>
    </row>
    <row r="38" spans="1:76" ht="15" customHeight="1" x14ac:dyDescent="0.25">
      <c r="A38" t="s">
        <v>204</v>
      </c>
      <c r="B38" t="s">
        <v>80</v>
      </c>
      <c r="C38" s="1">
        <v>43536</v>
      </c>
      <c r="G38" s="1">
        <v>45617</v>
      </c>
      <c r="H38" t="s">
        <v>81</v>
      </c>
      <c r="I38" t="str">
        <f>"Swire Jones"</f>
        <v>Swire Jones</v>
      </c>
      <c r="J38" t="str">
        <f>"Lindsay"</f>
        <v>Lindsay</v>
      </c>
      <c r="K38" t="str">
        <f>"R"</f>
        <v>R</v>
      </c>
      <c r="L38" t="str">
        <f>"Paralegal"</f>
        <v>Paralegal</v>
      </c>
      <c r="M38" t="str">
        <f>"135 S. La Salle St., Suite 3425"</f>
        <v>135 S. La Salle St., Suite 3425</v>
      </c>
      <c r="N38" t="str">
        <f>""</f>
        <v/>
      </c>
      <c r="O38" t="str">
        <f>"Chicago"</f>
        <v>Chicago</v>
      </c>
      <c r="P38" t="str">
        <f>"IL"</f>
        <v>IL</v>
      </c>
      <c r="Q38" s="7" t="str">
        <f>"60603-4177"</f>
        <v>60603-4177</v>
      </c>
      <c r="R38" t="str">
        <f t="shared" si="2"/>
        <v>UNITED STATES OF AMERICA</v>
      </c>
      <c r="S38" t="str">
        <f>""</f>
        <v/>
      </c>
      <c r="T38" s="7" t="str">
        <f>"312-648-2244"</f>
        <v>312-648-2244</v>
      </c>
      <c r="U38" t="str">
        <f>""</f>
        <v/>
      </c>
      <c r="V38" s="9" t="str">
        <f>"312-648-9848"</f>
        <v>312-648-9848</v>
      </c>
      <c r="W38" t="str">
        <f>"lswirejones@zulkiepartners.com"</f>
        <v>lswirejones@zulkiepartners.com</v>
      </c>
      <c r="X38" t="str">
        <f>"exp U.S. Services Inc."</f>
        <v>exp U.S. Services Inc.</v>
      </c>
      <c r="Y38" t="str">
        <f>""</f>
        <v/>
      </c>
      <c r="Z38" t="str">
        <f>"205 N. Michigan Avenue"</f>
        <v>205 N. Michigan Avenue</v>
      </c>
      <c r="AA38" t="str">
        <f>""</f>
        <v/>
      </c>
      <c r="AB38" t="str">
        <f>"Chicago"</f>
        <v>Chicago</v>
      </c>
      <c r="AC38" t="str">
        <f>"IL"</f>
        <v>IL</v>
      </c>
      <c r="AD38" s="7" t="str">
        <f>"60601-5924"</f>
        <v>60601-5924</v>
      </c>
      <c r="AE38" t="str">
        <f t="shared" si="3"/>
        <v>UNITED STATES OF AMERICA</v>
      </c>
      <c r="AF38" t="str">
        <f>""</f>
        <v/>
      </c>
      <c r="AG38" s="9" t="str">
        <f>"312-616-7410"</f>
        <v>312-616-7410</v>
      </c>
      <c r="AH38" t="str">
        <f>""</f>
        <v/>
      </c>
      <c r="AI38" t="str">
        <f>"460523964"</f>
        <v>460523964</v>
      </c>
      <c r="AJ38" t="str">
        <f>"541330"</f>
        <v>541330</v>
      </c>
      <c r="AK38" t="s">
        <v>83</v>
      </c>
      <c r="AL38" t="s">
        <v>83</v>
      </c>
      <c r="AM38" t="s">
        <v>84</v>
      </c>
      <c r="AN38" t="s">
        <v>83</v>
      </c>
      <c r="AQ38" t="str">
        <f>"Project Architectural Designer"</f>
        <v>Project Architectural Designer</v>
      </c>
      <c r="AR38" t="str">
        <f>"17-3011"</f>
        <v>17-3011</v>
      </c>
      <c r="AS38" t="str">
        <f>"Architectural and Civil Drafters"</f>
        <v>Architectural and Civil Drafters</v>
      </c>
      <c r="AT38" t="str">
        <f>"Vice President"</f>
        <v>Vice President</v>
      </c>
      <c r="AU38" t="s">
        <v>82</v>
      </c>
      <c r="AV38" t="str">
        <f>"5"</f>
        <v>5</v>
      </c>
      <c r="AW38" t="str">
        <f>"Subordinate"</f>
        <v>Subordinate</v>
      </c>
      <c r="AX38" t="s">
        <v>82</v>
      </c>
      <c r="AY38" t="str">
        <f>"This position requires up to 75% travel to client sites in the U.S."</f>
        <v>This position requires up to 75% travel to client sites in the U.S.</v>
      </c>
      <c r="AZ38" t="s">
        <v>107</v>
      </c>
      <c r="BB38" t="s">
        <v>205</v>
      </c>
      <c r="BC38" t="s">
        <v>83</v>
      </c>
      <c r="BE38" t="s">
        <v>83</v>
      </c>
      <c r="BH38" t="s">
        <v>82</v>
      </c>
      <c r="BI38">
        <v>12</v>
      </c>
      <c r="BJ38" t="s">
        <v>206</v>
      </c>
      <c r="BK38" t="s">
        <v>207</v>
      </c>
      <c r="BL38" t="str">
        <f>"205 N. Michigan Ave"</f>
        <v>205 N. Michigan Ave</v>
      </c>
      <c r="BM38" t="str">
        <f>""</f>
        <v/>
      </c>
      <c r="BN38" t="str">
        <f>"Chicago"</f>
        <v>Chicago</v>
      </c>
      <c r="BO38" t="s">
        <v>208</v>
      </c>
      <c r="BP38" t="s">
        <v>143</v>
      </c>
      <c r="BQ38" s="7" t="str">
        <f>"60601-5924"</f>
        <v>60601-5924</v>
      </c>
      <c r="BR38" t="s">
        <v>83</v>
      </c>
      <c r="BS38" t="str">
        <f>""</f>
        <v/>
      </c>
    </row>
    <row r="39" spans="1:76" ht="15" customHeight="1" x14ac:dyDescent="0.25">
      <c r="A39" t="s">
        <v>196</v>
      </c>
      <c r="B39" t="s">
        <v>80</v>
      </c>
      <c r="C39" s="1">
        <v>43531</v>
      </c>
      <c r="G39" s="1">
        <v>45617</v>
      </c>
      <c r="H39" t="s">
        <v>81</v>
      </c>
      <c r="I39" t="str">
        <f>"Jacob"</f>
        <v>Jacob</v>
      </c>
      <c r="J39" t="str">
        <f>"Katie"</f>
        <v>Katie</v>
      </c>
      <c r="K39" t="str">
        <f>"P"</f>
        <v>P</v>
      </c>
      <c r="L39" t="str">
        <f>"Associate"</f>
        <v>Associate</v>
      </c>
      <c r="M39" t="str">
        <f>"255 E 5th Street / Ste 1900"</f>
        <v>255 E 5th Street / Ste 1900</v>
      </c>
      <c r="N39" t="str">
        <f>""</f>
        <v/>
      </c>
      <c r="O39" t="str">
        <f>"Cincinnati"</f>
        <v>Cincinnati</v>
      </c>
      <c r="P39" t="str">
        <f>"OH"</f>
        <v>OH</v>
      </c>
      <c r="Q39" s="7" t="str">
        <f>"45202"</f>
        <v>45202</v>
      </c>
      <c r="R39" t="str">
        <f t="shared" si="2"/>
        <v>UNITED STATES OF AMERICA</v>
      </c>
      <c r="S39" t="str">
        <f>""</f>
        <v/>
      </c>
      <c r="T39" s="7" t="str">
        <f>"513-977-8591"</f>
        <v>513-977-8591</v>
      </c>
      <c r="U39" t="str">
        <f>""</f>
        <v/>
      </c>
      <c r="V39" s="9" t="str">
        <f>"513-977-8141"</f>
        <v>513-977-8141</v>
      </c>
      <c r="W39" t="str">
        <f>"katie.jacob@dinsmore.com"</f>
        <v>katie.jacob@dinsmore.com</v>
      </c>
      <c r="X39" t="str">
        <f>"Northern Kentucky University"</f>
        <v>Northern Kentucky University</v>
      </c>
      <c r="Y39" t="str">
        <f>""</f>
        <v/>
      </c>
      <c r="Z39" t="str">
        <f>"UC 305, 100 Nunn Drive"</f>
        <v>UC 305, 100 Nunn Drive</v>
      </c>
      <c r="AA39" t="str">
        <f>"International Student and Scholar Services"</f>
        <v>International Student and Scholar Services</v>
      </c>
      <c r="AB39" t="str">
        <f>"Highland Heights"</f>
        <v>Highland Heights</v>
      </c>
      <c r="AC39" t="str">
        <f>"KY"</f>
        <v>KY</v>
      </c>
      <c r="AD39" s="7" t="str">
        <f>"41099"</f>
        <v>41099</v>
      </c>
      <c r="AE39" t="str">
        <f t="shared" si="3"/>
        <v>UNITED STATES OF AMERICA</v>
      </c>
      <c r="AF39" t="str">
        <f>""</f>
        <v/>
      </c>
      <c r="AG39" s="9" t="str">
        <f>"859-572-5177"</f>
        <v>859-572-5177</v>
      </c>
      <c r="AH39" t="str">
        <f>""</f>
        <v/>
      </c>
      <c r="AI39" t="str">
        <f>"611010545"</f>
        <v>611010545</v>
      </c>
      <c r="AJ39" t="str">
        <f>"611310"</f>
        <v>611310</v>
      </c>
      <c r="AK39" t="s">
        <v>82</v>
      </c>
      <c r="AL39" t="s">
        <v>83</v>
      </c>
      <c r="AM39" t="s">
        <v>84</v>
      </c>
      <c r="AN39" t="s">
        <v>83</v>
      </c>
      <c r="AQ39" t="str">
        <f>"Assistant Professor in Organizational Leadership"</f>
        <v>Assistant Professor in Organizational Leadership</v>
      </c>
      <c r="AR39" t="str">
        <f>"25-1011"</f>
        <v>25-1011</v>
      </c>
      <c r="AS39" t="str">
        <f>"Business Teachers, Postsecondary"</f>
        <v>Business Teachers, Postsecondary</v>
      </c>
      <c r="AT39" t="str">
        <f>"Dept Chair [NKU-EO]"</f>
        <v>Dept Chair [NKU-EO]</v>
      </c>
      <c r="AU39" t="s">
        <v>83</v>
      </c>
      <c r="AV39" t="str">
        <f>""</f>
        <v/>
      </c>
      <c r="AW39" t="str">
        <f>"None"</f>
        <v>None</v>
      </c>
      <c r="AX39" t="s">
        <v>83</v>
      </c>
      <c r="AY39" t="str">
        <f>""</f>
        <v/>
      </c>
      <c r="AZ39" t="s">
        <v>114</v>
      </c>
      <c r="BB39" t="s">
        <v>197</v>
      </c>
      <c r="BC39" t="s">
        <v>83</v>
      </c>
      <c r="BE39" t="s">
        <v>83</v>
      </c>
      <c r="BH39" t="s">
        <v>83</v>
      </c>
      <c r="BK39" s="2" t="s">
        <v>198</v>
      </c>
      <c r="BL39" t="str">
        <f>"NKU Dept PoliSci, CrimJustice, Org Leadership"</f>
        <v>NKU Dept PoliSci, CrimJustice, Org Leadership</v>
      </c>
      <c r="BM39" t="str">
        <f>"555 Founders Hall"</f>
        <v>555 Founders Hall</v>
      </c>
      <c r="BN39" t="str">
        <f>"Highland Heights"</f>
        <v>Highland Heights</v>
      </c>
      <c r="BO39" t="s">
        <v>199</v>
      </c>
      <c r="BP39" t="s">
        <v>200</v>
      </c>
      <c r="BQ39" s="7" t="str">
        <f>"41099"</f>
        <v>41099</v>
      </c>
      <c r="BR39" t="s">
        <v>83</v>
      </c>
      <c r="BS39" t="str">
        <f>""</f>
        <v/>
      </c>
    </row>
    <row r="40" spans="1:76" ht="15" customHeight="1" x14ac:dyDescent="0.25">
      <c r="A40" t="s">
        <v>192</v>
      </c>
      <c r="B40" t="s">
        <v>80</v>
      </c>
      <c r="C40" s="1">
        <v>43530</v>
      </c>
      <c r="G40" s="1">
        <v>45617</v>
      </c>
      <c r="H40" t="s">
        <v>81</v>
      </c>
      <c r="I40" t="str">
        <f>"LEE"</f>
        <v>LEE</v>
      </c>
      <c r="J40" t="str">
        <f>"JEONG-HWA"</f>
        <v>JEONG-HWA</v>
      </c>
      <c r="K40" t="str">
        <f>"N/A"</f>
        <v>N/A</v>
      </c>
      <c r="L40" t="str">
        <f>"Attorney at Law"</f>
        <v>Attorney at Law</v>
      </c>
      <c r="M40" t="str">
        <f>"201 17TH STREET, NW"</f>
        <v>201 17TH STREET, NW</v>
      </c>
      <c r="N40" t="str">
        <f>"SUITE 1700"</f>
        <v>SUITE 1700</v>
      </c>
      <c r="O40" t="str">
        <f>"ATLANTA"</f>
        <v>ATLANTA</v>
      </c>
      <c r="P40" t="str">
        <f>"GA"</f>
        <v>GA</v>
      </c>
      <c r="Q40" s="7" t="str">
        <f>"30363"</f>
        <v>30363</v>
      </c>
      <c r="R40" t="str">
        <f t="shared" si="2"/>
        <v>UNITED STATES OF AMERICA</v>
      </c>
      <c r="S40" t="str">
        <f>""</f>
        <v/>
      </c>
      <c r="T40" s="7" t="str">
        <f>"404-322-6597"</f>
        <v>404-322-6597</v>
      </c>
      <c r="U40" t="str">
        <f>""</f>
        <v/>
      </c>
      <c r="V40" s="9" t="str">
        <f>"404-322-6071"</f>
        <v>404-322-6071</v>
      </c>
      <c r="W40" t="str">
        <f>"JIN.CHANG@NELSONMULLINS.COM"</f>
        <v>JIN.CHANG@NELSONMULLINS.COM</v>
      </c>
      <c r="X40" t="str">
        <f>"CNJ, INC."</f>
        <v>CNJ, INC.</v>
      </c>
      <c r="Y40" t="str">
        <f>""</f>
        <v/>
      </c>
      <c r="Z40" t="str">
        <f>"265 TEAGUE COURT"</f>
        <v>265 TEAGUE COURT</v>
      </c>
      <c r="AA40" t="str">
        <f>""</f>
        <v/>
      </c>
      <c r="AB40" t="str">
        <f>"AUBURN"</f>
        <v>AUBURN</v>
      </c>
      <c r="AC40" t="str">
        <f>"AL"</f>
        <v>AL</v>
      </c>
      <c r="AD40" s="7" t="str">
        <f>"36832"</f>
        <v>36832</v>
      </c>
      <c r="AE40" t="str">
        <f t="shared" si="3"/>
        <v>UNITED STATES OF AMERICA</v>
      </c>
      <c r="AF40" t="str">
        <f>""</f>
        <v/>
      </c>
      <c r="AG40" s="9" t="str">
        <f>"334-321-2040"</f>
        <v>334-321-2040</v>
      </c>
      <c r="AH40" t="str">
        <f>""</f>
        <v/>
      </c>
      <c r="AI40" t="str">
        <f>"204459124"</f>
        <v>204459124</v>
      </c>
      <c r="AJ40" t="str">
        <f>"3363"</f>
        <v>3363</v>
      </c>
      <c r="AK40" t="s">
        <v>83</v>
      </c>
      <c r="AL40" t="s">
        <v>83</v>
      </c>
      <c r="AM40" t="s">
        <v>84</v>
      </c>
      <c r="AN40" t="s">
        <v>83</v>
      </c>
      <c r="AQ40" t="str">
        <f>"Production Worker"</f>
        <v>Production Worker</v>
      </c>
      <c r="AR40" t="str">
        <f>"51-9199"</f>
        <v>51-9199</v>
      </c>
      <c r="AS40" t="str">
        <f>"Production Workers, All Other"</f>
        <v>Production Workers, All Other</v>
      </c>
      <c r="AT40" t="str">
        <f>"Production Manager"</f>
        <v>Production Manager</v>
      </c>
      <c r="AU40" t="s">
        <v>83</v>
      </c>
      <c r="AV40" t="str">
        <f>""</f>
        <v/>
      </c>
      <c r="AW40" t="str">
        <f>"None"</f>
        <v>None</v>
      </c>
      <c r="AX40" t="s">
        <v>83</v>
      </c>
      <c r="AY40" t="str">
        <f>""</f>
        <v/>
      </c>
      <c r="AZ40" t="s">
        <v>123</v>
      </c>
      <c r="BC40" t="s">
        <v>83</v>
      </c>
      <c r="BE40" t="s">
        <v>83</v>
      </c>
      <c r="BH40" t="s">
        <v>82</v>
      </c>
      <c r="BI40">
        <v>12</v>
      </c>
      <c r="BJ40" t="s">
        <v>193</v>
      </c>
      <c r="BK40" t="s">
        <v>194</v>
      </c>
      <c r="BL40" t="str">
        <f>"265 Teague Court"</f>
        <v>265 Teague Court</v>
      </c>
      <c r="BM40" t="str">
        <f>""</f>
        <v/>
      </c>
      <c r="BN40" t="str">
        <f>"Auburn"</f>
        <v>Auburn</v>
      </c>
      <c r="BO40" t="s">
        <v>195</v>
      </c>
      <c r="BP40" t="s">
        <v>147</v>
      </c>
      <c r="BQ40" s="7" t="str">
        <f>"36832"</f>
        <v>36832</v>
      </c>
      <c r="BR40" t="s">
        <v>83</v>
      </c>
      <c r="BS40" t="str">
        <f>""</f>
        <v/>
      </c>
    </row>
    <row r="41" spans="1:76" ht="15" customHeight="1" x14ac:dyDescent="0.25">
      <c r="A41" t="s">
        <v>182</v>
      </c>
      <c r="B41" t="s">
        <v>80</v>
      </c>
      <c r="C41" s="1">
        <v>43529</v>
      </c>
      <c r="G41" s="1">
        <v>45617</v>
      </c>
      <c r="H41" t="s">
        <v>81</v>
      </c>
      <c r="I41" t="str">
        <f>"GOLDBLUM"</f>
        <v>GOLDBLUM</v>
      </c>
      <c r="J41" t="str">
        <f>"JANE"</f>
        <v>JANE</v>
      </c>
      <c r="K41" t="str">
        <f>"W."</f>
        <v>W.</v>
      </c>
      <c r="L41" t="str">
        <f>"ATTORNEY"</f>
        <v>ATTORNEY</v>
      </c>
      <c r="M41" t="str">
        <f>"101 GREENWOOD AVENUE"</f>
        <v>101 GREENWOOD AVENUE</v>
      </c>
      <c r="N41" t="str">
        <f>"SUITE 380"</f>
        <v>SUITE 380</v>
      </c>
      <c r="O41" t="str">
        <f>"JENKINTOWN"</f>
        <v>JENKINTOWN</v>
      </c>
      <c r="P41" t="str">
        <f>"PA"</f>
        <v>PA</v>
      </c>
      <c r="Q41" s="7" t="str">
        <f>"19046"</f>
        <v>19046</v>
      </c>
      <c r="R41" t="str">
        <f t="shared" si="2"/>
        <v>UNITED STATES OF AMERICA</v>
      </c>
      <c r="S41" t="str">
        <f>""</f>
        <v/>
      </c>
      <c r="T41" s="7" t="str">
        <f>"215-885-3600"</f>
        <v>215-885-3600</v>
      </c>
      <c r="U41" t="str">
        <f>""</f>
        <v/>
      </c>
      <c r="V41" s="9" t="str">
        <f>"215-885-0324"</f>
        <v>215-885-0324</v>
      </c>
      <c r="W41" t="str">
        <f>"JANE@GOLDBLUMFIRM.COM"</f>
        <v>JANE@GOLDBLUMFIRM.COM</v>
      </c>
      <c r="X41" t="str">
        <f>"The Children's Hospital of Philadelphia"</f>
        <v>The Children's Hospital of Philadelphia</v>
      </c>
      <c r="Y41" t="str">
        <f>""</f>
        <v/>
      </c>
      <c r="Z41" t="str">
        <f>"2716 South Street / 6th Floor"</f>
        <v>2716 South Street / 6th Floor</v>
      </c>
      <c r="AA41" t="str">
        <f>"Roberts Center for Pediatric Research"</f>
        <v>Roberts Center for Pediatric Research</v>
      </c>
      <c r="AB41" t="str">
        <f>"Philadelphia"</f>
        <v>Philadelphia</v>
      </c>
      <c r="AC41" t="str">
        <f>"PA"</f>
        <v>PA</v>
      </c>
      <c r="AD41" s="7" t="str">
        <f>"19146"</f>
        <v>19146</v>
      </c>
      <c r="AE41" t="str">
        <f t="shared" si="3"/>
        <v>UNITED STATES OF AMERICA</v>
      </c>
      <c r="AF41" t="str">
        <f>""</f>
        <v/>
      </c>
      <c r="AG41" s="9" t="str">
        <f>"215-590-1000"</f>
        <v>215-590-1000</v>
      </c>
      <c r="AH41" t="str">
        <f>""</f>
        <v/>
      </c>
      <c r="AI41" t="str">
        <f>"231352166"</f>
        <v>231352166</v>
      </c>
      <c r="AJ41" t="str">
        <f>"622110"</f>
        <v>622110</v>
      </c>
      <c r="AK41" t="s">
        <v>82</v>
      </c>
      <c r="AL41" t="s">
        <v>83</v>
      </c>
      <c r="AM41" t="s">
        <v>84</v>
      </c>
      <c r="AN41" t="s">
        <v>83</v>
      </c>
      <c r="AQ41" t="str">
        <f>"Senior Genetic Counselor"</f>
        <v>Senior Genetic Counselor</v>
      </c>
      <c r="AR41" t="str">
        <f>"29-9092"</f>
        <v>29-9092</v>
      </c>
      <c r="AS41" t="str">
        <f>"Genetic Counselors"</f>
        <v>Genetic Counselors</v>
      </c>
      <c r="AT41" t="str">
        <f>"Co-Director - Individualized Medical Genetics Center"</f>
        <v>Co-Director - Individualized Medical Genetics Center</v>
      </c>
      <c r="AU41" t="s">
        <v>83</v>
      </c>
      <c r="AV41" t="str">
        <f>""</f>
        <v/>
      </c>
      <c r="AW41" t="str">
        <f>"None"</f>
        <v>None</v>
      </c>
      <c r="AX41" t="s">
        <v>83</v>
      </c>
      <c r="AY41" t="str">
        <f>""</f>
        <v/>
      </c>
      <c r="AZ41" t="s">
        <v>93</v>
      </c>
      <c r="BA41" t="s">
        <v>84</v>
      </c>
      <c r="BB41" t="s">
        <v>183</v>
      </c>
      <c r="BC41" t="s">
        <v>83</v>
      </c>
      <c r="BE41" t="s">
        <v>83</v>
      </c>
      <c r="BH41" t="s">
        <v>82</v>
      </c>
      <c r="BI41">
        <v>24</v>
      </c>
      <c r="BJ41" t="s">
        <v>184</v>
      </c>
      <c r="BK41" s="2" t="s">
        <v>185</v>
      </c>
      <c r="BL41" t="str">
        <f>"3401 Civic Center Blvd."</f>
        <v>3401 Civic Center Blvd.</v>
      </c>
      <c r="BM41" t="str">
        <f>""</f>
        <v/>
      </c>
      <c r="BN41" t="str">
        <f>"Philadelphia"</f>
        <v>Philadelphia</v>
      </c>
      <c r="BO41" t="s">
        <v>186</v>
      </c>
      <c r="BP41" t="s">
        <v>165</v>
      </c>
      <c r="BQ41" s="7" t="str">
        <f>"19104"</f>
        <v>19104</v>
      </c>
      <c r="BR41" t="s">
        <v>83</v>
      </c>
      <c r="BS41" t="str">
        <f>""</f>
        <v/>
      </c>
    </row>
    <row r="42" spans="1:76" ht="15" customHeight="1" x14ac:dyDescent="0.25">
      <c r="A42" t="s">
        <v>187</v>
      </c>
      <c r="B42" t="s">
        <v>80</v>
      </c>
      <c r="C42" s="1">
        <v>43529</v>
      </c>
      <c r="G42" s="1">
        <v>45617</v>
      </c>
      <c r="H42" t="s">
        <v>81</v>
      </c>
      <c r="I42" t="str">
        <f>"FAURE WENGER"</f>
        <v>FAURE WENGER</v>
      </c>
      <c r="J42" t="str">
        <f>"KARINE"</f>
        <v>KARINE</v>
      </c>
      <c r="K42" t="str">
        <f>"ISABELLE"</f>
        <v>ISABELLE</v>
      </c>
      <c r="L42" t="str">
        <f>"DESAI,R / OV"</f>
        <v>DESAI,R / OV</v>
      </c>
      <c r="M42" t="str">
        <f>"P.O. BOX 910129"</f>
        <v>P.O. BOX 910129</v>
      </c>
      <c r="N42" t="str">
        <f>""</f>
        <v/>
      </c>
      <c r="O42" t="str">
        <f>"SAN DIEGO"</f>
        <v>SAN DIEGO</v>
      </c>
      <c r="P42" t="str">
        <f>"CA"</f>
        <v>CA</v>
      </c>
      <c r="Q42" s="7" t="str">
        <f>"92191"</f>
        <v>92191</v>
      </c>
      <c r="R42" t="str">
        <f t="shared" si="2"/>
        <v>UNITED STATES OF AMERICA</v>
      </c>
      <c r="S42" t="str">
        <f>""</f>
        <v/>
      </c>
      <c r="T42" s="7" t="str">
        <f>"858-793-1600"</f>
        <v>858-793-1600</v>
      </c>
      <c r="U42" t="str">
        <f>""</f>
        <v/>
      </c>
      <c r="V42" s="9" t="str">
        <f>"858-793-1686"</f>
        <v>858-793-1686</v>
      </c>
      <c r="W42" t="str">
        <f>"QualcommPW@Fragomen.com"</f>
        <v>QualcommPW@Fragomen.com</v>
      </c>
      <c r="X42" t="str">
        <f>"QUALCOMM INCORPORATED"</f>
        <v>QUALCOMM INCORPORATED</v>
      </c>
      <c r="Y42" t="str">
        <f>""</f>
        <v/>
      </c>
      <c r="Z42" t="str">
        <f>"5775 MOREHOUSE DRIVE"</f>
        <v>5775 MOREHOUSE DRIVE</v>
      </c>
      <c r="AA42" t="str">
        <f>""</f>
        <v/>
      </c>
      <c r="AB42" t="str">
        <f>"SAN DIEGO"</f>
        <v>SAN DIEGO</v>
      </c>
      <c r="AC42" t="str">
        <f>"CA"</f>
        <v>CA</v>
      </c>
      <c r="AD42" s="7" t="str">
        <f>"92121"</f>
        <v>92121</v>
      </c>
      <c r="AE42" t="str">
        <f t="shared" si="3"/>
        <v>UNITED STATES OF AMERICA</v>
      </c>
      <c r="AF42" t="str">
        <f>""</f>
        <v/>
      </c>
      <c r="AG42" s="9" t="str">
        <f>"858-845-3309"</f>
        <v>858-845-3309</v>
      </c>
      <c r="AH42" t="str">
        <f>""</f>
        <v/>
      </c>
      <c r="AI42" t="str">
        <f>"953685934"</f>
        <v>953685934</v>
      </c>
      <c r="AJ42" t="str">
        <f>"334220"</f>
        <v>334220</v>
      </c>
      <c r="AK42" t="s">
        <v>83</v>
      </c>
      <c r="AL42" t="s">
        <v>83</v>
      </c>
      <c r="AM42" t="s">
        <v>84</v>
      </c>
      <c r="AN42" t="s">
        <v>83</v>
      </c>
      <c r="AQ42" t="str">
        <f>"Staff Data Analyst"</f>
        <v>Staff Data Analyst</v>
      </c>
      <c r="AR42" t="str">
        <f>"15-2031"</f>
        <v>15-2031</v>
      </c>
      <c r="AS42" t="str">
        <f>"Operations Research Analysts"</f>
        <v>Operations Research Analysts</v>
      </c>
      <c r="AT42" t="str">
        <f>"Sr Manager, Data Analysis"</f>
        <v>Sr Manager, Data Analysis</v>
      </c>
      <c r="AU42" t="s">
        <v>83</v>
      </c>
      <c r="AV42" t="str">
        <f>""</f>
        <v/>
      </c>
      <c r="AW42" t="str">
        <f>"None"</f>
        <v>None</v>
      </c>
      <c r="AX42" t="s">
        <v>83</v>
      </c>
      <c r="AY42" t="str">
        <f>""</f>
        <v/>
      </c>
      <c r="AZ42" t="s">
        <v>93</v>
      </c>
      <c r="BB42" t="s">
        <v>188</v>
      </c>
      <c r="BC42" t="s">
        <v>83</v>
      </c>
      <c r="BE42" t="s">
        <v>83</v>
      </c>
      <c r="BH42" t="s">
        <v>83</v>
      </c>
      <c r="BK42" t="s">
        <v>189</v>
      </c>
      <c r="BL42" t="str">
        <f>"9600 N. Mopac, Ste 900"</f>
        <v>9600 N. Mopac, Ste 900</v>
      </c>
      <c r="BM42" t="str">
        <f>""</f>
        <v/>
      </c>
      <c r="BN42" t="str">
        <f>"Austin"</f>
        <v>Austin</v>
      </c>
      <c r="BO42" t="s">
        <v>190</v>
      </c>
      <c r="BP42" t="s">
        <v>191</v>
      </c>
      <c r="BQ42" s="7" t="str">
        <f>"78759"</f>
        <v>78759</v>
      </c>
      <c r="BR42" t="s">
        <v>83</v>
      </c>
      <c r="BS42" t="str">
        <f>""</f>
        <v/>
      </c>
    </row>
    <row r="43" spans="1:76" ht="15" customHeight="1" x14ac:dyDescent="0.25">
      <c r="A43" t="s">
        <v>176</v>
      </c>
      <c r="B43" t="s">
        <v>80</v>
      </c>
      <c r="C43" s="1">
        <v>43518</v>
      </c>
      <c r="G43" s="1">
        <v>45617</v>
      </c>
      <c r="H43" t="s">
        <v>81</v>
      </c>
      <c r="I43" t="str">
        <f>"HO"</f>
        <v>HO</v>
      </c>
      <c r="J43" t="str">
        <f>"CARMEN"</f>
        <v>CARMEN</v>
      </c>
      <c r="K43" t="str">
        <f>"H."</f>
        <v>H.</v>
      </c>
      <c r="L43" t="str">
        <f>"Paralegal"</f>
        <v>Paralegal</v>
      </c>
      <c r="M43" t="str">
        <f>"2101 WILSON BLVD."</f>
        <v>2101 WILSON BLVD.</v>
      </c>
      <c r="N43" t="str">
        <f>"SUITE 1100"</f>
        <v>SUITE 1100</v>
      </c>
      <c r="O43" t="str">
        <f>"ARLINGTON"</f>
        <v>ARLINGTON</v>
      </c>
      <c r="P43" t="str">
        <f>"VA"</f>
        <v>VA</v>
      </c>
      <c r="Q43" s="7" t="str">
        <f>"22201"</f>
        <v>22201</v>
      </c>
      <c r="R43" t="str">
        <f t="shared" si="2"/>
        <v>UNITED STATES OF AMERICA</v>
      </c>
      <c r="S43" t="str">
        <f>""</f>
        <v/>
      </c>
      <c r="T43" s="7" t="str">
        <f>"703-678-4000"</f>
        <v>703-678-4000</v>
      </c>
      <c r="U43" t="str">
        <f>""</f>
        <v/>
      </c>
      <c r="V43" s="9" t="str">
        <f>"703-678-4477"</f>
        <v>703-678-4477</v>
      </c>
      <c r="W43" t="str">
        <f>"CARMEN.ICERT@EIGLAW.COM"</f>
        <v>CARMEN.ICERT@EIGLAW.COM</v>
      </c>
      <c r="X43" t="str">
        <f>"PAYPAL, INC."</f>
        <v>PAYPAL, INC.</v>
      </c>
      <c r="Y43" t="str">
        <f>""</f>
        <v/>
      </c>
      <c r="Z43" t="str">
        <f>"2211 NORTH FIRST ST."</f>
        <v>2211 NORTH FIRST ST.</v>
      </c>
      <c r="AA43" t="str">
        <f>""</f>
        <v/>
      </c>
      <c r="AB43" t="str">
        <f>"SAN JOSE"</f>
        <v>SAN JOSE</v>
      </c>
      <c r="AC43" t="str">
        <f>"CA"</f>
        <v>CA</v>
      </c>
      <c r="AD43" s="7" t="str">
        <f>"95131"</f>
        <v>95131</v>
      </c>
      <c r="AE43" t="str">
        <f t="shared" si="3"/>
        <v>UNITED STATES OF AMERICA</v>
      </c>
      <c r="AF43" t="str">
        <f>""</f>
        <v/>
      </c>
      <c r="AG43" s="9" t="str">
        <f>"408-967-2992"</f>
        <v>408-967-2992</v>
      </c>
      <c r="AH43" t="str">
        <f>""</f>
        <v/>
      </c>
      <c r="AI43" t="str">
        <f>"770510487"</f>
        <v>770510487</v>
      </c>
      <c r="AJ43" t="str">
        <f>"522320"</f>
        <v>522320</v>
      </c>
      <c r="AK43" t="s">
        <v>83</v>
      </c>
      <c r="AL43" t="s">
        <v>83</v>
      </c>
      <c r="AM43" t="s">
        <v>84</v>
      </c>
      <c r="AN43" t="s">
        <v>82</v>
      </c>
      <c r="AO43" t="s">
        <v>177</v>
      </c>
      <c r="AP43" s="1">
        <v>43480</v>
      </c>
      <c r="AQ43" t="str">
        <f>"Manager, Software Development [5143-S/W Engr, Apps, lvl 3]"</f>
        <v>Manager, Software Development [5143-S/W Engr, Apps, lvl 3]</v>
      </c>
      <c r="AR43" t="str">
        <f>"15-1132"</f>
        <v>15-1132</v>
      </c>
      <c r="AS43" t="str">
        <f>"Software Developers, Applications"</f>
        <v>Software Developers, Applications</v>
      </c>
      <c r="AT43" t="str">
        <f>"Manager, Software Development 3"</f>
        <v>Manager, Software Development 3</v>
      </c>
      <c r="AU43" t="s">
        <v>82</v>
      </c>
      <c r="AV43" t="str">
        <f>"10"</f>
        <v>10</v>
      </c>
      <c r="AW43" t="str">
        <f>"Subordinate"</f>
        <v>Subordinate</v>
      </c>
      <c r="AX43" t="s">
        <v>83</v>
      </c>
      <c r="AY43" t="str">
        <f>""</f>
        <v/>
      </c>
      <c r="AZ43" t="s">
        <v>93</v>
      </c>
      <c r="BB43" t="s">
        <v>178</v>
      </c>
      <c r="BC43" t="s">
        <v>83</v>
      </c>
      <c r="BE43" t="s">
        <v>83</v>
      </c>
      <c r="BH43" t="s">
        <v>82</v>
      </c>
      <c r="BI43">
        <v>36</v>
      </c>
      <c r="BJ43" t="s">
        <v>179</v>
      </c>
      <c r="BK43" s="2" t="s">
        <v>180</v>
      </c>
      <c r="BL43" t="str">
        <f>"2211 North First St."</f>
        <v>2211 North First St.</v>
      </c>
      <c r="BM43" t="str">
        <f>""</f>
        <v/>
      </c>
      <c r="BN43" t="str">
        <f>"San Jose"</f>
        <v>San Jose</v>
      </c>
      <c r="BO43" t="s">
        <v>181</v>
      </c>
      <c r="BP43" t="s">
        <v>153</v>
      </c>
      <c r="BQ43" s="7" t="str">
        <f>"95131"</f>
        <v>95131</v>
      </c>
      <c r="BR43" t="s">
        <v>83</v>
      </c>
      <c r="BS43" t="str">
        <f>""</f>
        <v/>
      </c>
    </row>
    <row r="44" spans="1:76" ht="15" customHeight="1" x14ac:dyDescent="0.25">
      <c r="A44" t="s">
        <v>170</v>
      </c>
      <c r="B44" t="s">
        <v>80</v>
      </c>
      <c r="C44" s="1">
        <v>43517</v>
      </c>
      <c r="G44" s="1">
        <v>45617</v>
      </c>
      <c r="H44" t="s">
        <v>81</v>
      </c>
      <c r="I44" t="str">
        <f>"KAPLAN"</f>
        <v>KAPLAN</v>
      </c>
      <c r="J44" t="str">
        <f>"GRANT"</f>
        <v>GRANT</v>
      </c>
      <c r="K44" t="str">
        <f>"N/A"</f>
        <v>N/A</v>
      </c>
      <c r="L44" t="str">
        <f>"Attorney"</f>
        <v>Attorney</v>
      </c>
      <c r="M44" t="str">
        <f>"7100 W CAMINO REAL SUITE100"</f>
        <v>7100 W CAMINO REAL SUITE100</v>
      </c>
      <c r="N44" t="str">
        <f>""</f>
        <v/>
      </c>
      <c r="O44" t="str">
        <f>"BOCA RATON"</f>
        <v>BOCA RATON</v>
      </c>
      <c r="P44" t="str">
        <f>"FL"</f>
        <v>FL</v>
      </c>
      <c r="Q44" s="7" t="str">
        <f>"33433"</f>
        <v>33433</v>
      </c>
      <c r="R44" t="str">
        <f t="shared" si="2"/>
        <v>UNITED STATES OF AMERICA</v>
      </c>
      <c r="S44" t="str">
        <f>""</f>
        <v/>
      </c>
      <c r="T44" s="7" t="str">
        <f>"561-347-8337"</f>
        <v>561-347-8337</v>
      </c>
      <c r="U44" t="str">
        <f>""</f>
        <v/>
      </c>
      <c r="V44" s="9" t="str">
        <f>"561-347-8292"</f>
        <v>561-347-8292</v>
      </c>
      <c r="W44" t="str">
        <f>"USRELOCSERV@AOL.COM"</f>
        <v>USRELOCSERV@AOL.COM</v>
      </c>
      <c r="X44" t="str">
        <f>"REGENCY FURNITURE INTERNATIONAL"</f>
        <v>REGENCY FURNITURE INTERNATIONAL</v>
      </c>
      <c r="Y44" t="str">
        <f>""</f>
        <v/>
      </c>
      <c r="Z44" t="str">
        <f>"4512 Parkway Commerce Blvd"</f>
        <v>4512 Parkway Commerce Blvd</v>
      </c>
      <c r="AA44" t="str">
        <f>""</f>
        <v/>
      </c>
      <c r="AB44" t="str">
        <f>"Orlando"</f>
        <v>Orlando</v>
      </c>
      <c r="AC44" t="str">
        <f>"FL"</f>
        <v>FL</v>
      </c>
      <c r="AD44" s="7" t="str">
        <f>"32808"</f>
        <v>32808</v>
      </c>
      <c r="AE44" t="str">
        <f t="shared" si="3"/>
        <v>UNITED STATES OF AMERICA</v>
      </c>
      <c r="AF44" t="str">
        <f>""</f>
        <v/>
      </c>
      <c r="AG44" s="9" t="str">
        <f>"407-468-3883"</f>
        <v>407-468-3883</v>
      </c>
      <c r="AH44" t="str">
        <f>""</f>
        <v/>
      </c>
      <c r="AI44" t="str">
        <f>"270200289"</f>
        <v>270200289</v>
      </c>
      <c r="AJ44" t="str">
        <f>"423210"</f>
        <v>423210</v>
      </c>
      <c r="AK44" t="s">
        <v>83</v>
      </c>
      <c r="AL44" t="s">
        <v>83</v>
      </c>
      <c r="AM44" t="s">
        <v>84</v>
      </c>
      <c r="AN44" t="s">
        <v>83</v>
      </c>
      <c r="AQ44" t="str">
        <f>"Interior Designer"</f>
        <v>Interior Designer</v>
      </c>
      <c r="AR44" t="str">
        <f>"27-1025"</f>
        <v>27-1025</v>
      </c>
      <c r="AS44" t="str">
        <f>"Interior Designers"</f>
        <v>Interior Designers</v>
      </c>
      <c r="AT44" t="str">
        <f>"VICE PRESIDENT"</f>
        <v>VICE PRESIDENT</v>
      </c>
      <c r="AU44" t="s">
        <v>82</v>
      </c>
      <c r="AV44" t="str">
        <f>"4"</f>
        <v>4</v>
      </c>
      <c r="AW44" t="str">
        <f>"Subordinate"</f>
        <v>Subordinate</v>
      </c>
      <c r="AX44" t="s">
        <v>82</v>
      </c>
      <c r="AY44" t="str">
        <f>"OUT OF STATE (AT LEAST TWICE A MONTH) AND INTERNATIONAL TRAVEL (AT LEAST ONCE A YEAR)"</f>
        <v>OUT OF STATE (AT LEAST TWICE A MONTH) AND INTERNATIONAL TRAVEL (AT LEAST ONCE A YEAR)</v>
      </c>
      <c r="AZ44" t="s">
        <v>107</v>
      </c>
      <c r="BB44" t="s">
        <v>171</v>
      </c>
      <c r="BC44" t="s">
        <v>83</v>
      </c>
      <c r="BE44" t="s">
        <v>83</v>
      </c>
      <c r="BH44" t="s">
        <v>82</v>
      </c>
      <c r="BI44">
        <v>24</v>
      </c>
      <c r="BJ44" t="s">
        <v>172</v>
      </c>
      <c r="BK44" t="s">
        <v>173</v>
      </c>
      <c r="BL44" t="str">
        <f>"4512 Parkway Commerce Blvd"</f>
        <v>4512 Parkway Commerce Blvd</v>
      </c>
      <c r="BM44" t="str">
        <f>""</f>
        <v/>
      </c>
      <c r="BN44" t="str">
        <f>"Orlando"</f>
        <v>Orlando</v>
      </c>
      <c r="BO44" t="s">
        <v>174</v>
      </c>
      <c r="BP44" t="s">
        <v>175</v>
      </c>
      <c r="BQ44" s="7" t="str">
        <f>"32808"</f>
        <v>32808</v>
      </c>
      <c r="BR44" t="s">
        <v>83</v>
      </c>
      <c r="BS44" t="str">
        <f>""</f>
        <v/>
      </c>
    </row>
    <row r="45" spans="1:76" ht="15" customHeight="1" x14ac:dyDescent="0.25">
      <c r="A45" t="s">
        <v>160</v>
      </c>
      <c r="B45" t="s">
        <v>80</v>
      </c>
      <c r="C45" s="1">
        <v>43509</v>
      </c>
      <c r="G45" s="1">
        <v>45617</v>
      </c>
      <c r="H45" t="s">
        <v>100</v>
      </c>
      <c r="I45" t="str">
        <f>"DANG"</f>
        <v>DANG</v>
      </c>
      <c r="J45" t="str">
        <f>"LUU"</f>
        <v>LUU</v>
      </c>
      <c r="K45" t="str">
        <f>"LE"</f>
        <v>LE</v>
      </c>
      <c r="L45" t="str">
        <f>"MANAGER"</f>
        <v>MANAGER</v>
      </c>
      <c r="M45" t="str">
        <f>"2501 PAXTON ST"</f>
        <v>2501 PAXTON ST</v>
      </c>
      <c r="N45" t="str">
        <f>"SUITE A"</f>
        <v>SUITE A</v>
      </c>
      <c r="O45" t="str">
        <f>"HARRISBURG"</f>
        <v>HARRISBURG</v>
      </c>
      <c r="P45" t="str">
        <f>"PA"</f>
        <v>PA</v>
      </c>
      <c r="Q45" s="7" t="str">
        <f>"17111"</f>
        <v>17111</v>
      </c>
      <c r="R45" t="str">
        <f t="shared" si="2"/>
        <v>UNITED STATES OF AMERICA</v>
      </c>
      <c r="S45" t="str">
        <f>""</f>
        <v/>
      </c>
      <c r="T45" s="7" t="str">
        <f>"717-265-5751"</f>
        <v>717-265-5751</v>
      </c>
      <c r="U45" t="str">
        <f>""</f>
        <v/>
      </c>
      <c r="V45" s="9" t="str">
        <f>""</f>
        <v/>
      </c>
      <c r="W45" t="str">
        <f>"LEDANGINS.HBG@GMAIL.COM"</f>
        <v>LEDANGINS.HBG@GMAIL.COM</v>
      </c>
      <c r="X45" t="str">
        <f>"HL TAX SERVICES LLC"</f>
        <v>HL TAX SERVICES LLC</v>
      </c>
      <c r="Y45" t="str">
        <f>""</f>
        <v/>
      </c>
      <c r="Z45" t="str">
        <f>"2501 PAXTON ST"</f>
        <v>2501 PAXTON ST</v>
      </c>
      <c r="AA45" t="str">
        <f>"SUITE A"</f>
        <v>SUITE A</v>
      </c>
      <c r="AB45" t="str">
        <f>"HARRISBURG"</f>
        <v>HARRISBURG</v>
      </c>
      <c r="AC45" t="str">
        <f>"PA"</f>
        <v>PA</v>
      </c>
      <c r="AD45" s="7" t="str">
        <f>"17111"</f>
        <v>17111</v>
      </c>
      <c r="AE45" t="str">
        <f t="shared" si="3"/>
        <v>UNITED STATES OF AMERICA</v>
      </c>
      <c r="AF45" t="str">
        <f>""</f>
        <v/>
      </c>
      <c r="AG45" s="9" t="str">
        <f>"717-724-0293"</f>
        <v>717-724-0293</v>
      </c>
      <c r="AH45" t="str">
        <f>""</f>
        <v/>
      </c>
      <c r="AI45" t="str">
        <f>"474248770"</f>
        <v>474248770</v>
      </c>
      <c r="AJ45" t="str">
        <f>"5412"</f>
        <v>5412</v>
      </c>
      <c r="AK45" t="s">
        <v>83</v>
      </c>
      <c r="AL45" t="s">
        <v>83</v>
      </c>
      <c r="AM45" t="s">
        <v>84</v>
      </c>
      <c r="AN45" t="s">
        <v>83</v>
      </c>
      <c r="AQ45" t="str">
        <f>"Accountant"</f>
        <v>Accountant</v>
      </c>
      <c r="AR45" t="str">
        <f>"13-2011"</f>
        <v>13-2011</v>
      </c>
      <c r="AS45" t="str">
        <f>"Accountants and Auditors"</f>
        <v>Accountants and Auditors</v>
      </c>
      <c r="AT45" t="str">
        <f>"Office Manager"</f>
        <v>Office Manager</v>
      </c>
      <c r="AU45" t="s">
        <v>83</v>
      </c>
      <c r="AV45" t="str">
        <f>""</f>
        <v/>
      </c>
      <c r="AW45" t="str">
        <f>"None"</f>
        <v>None</v>
      </c>
      <c r="AX45" t="s">
        <v>83</v>
      </c>
      <c r="AY45" t="str">
        <f>""</f>
        <v/>
      </c>
      <c r="AZ45" t="s">
        <v>107</v>
      </c>
      <c r="BB45" t="s">
        <v>161</v>
      </c>
      <c r="BC45" t="s">
        <v>83</v>
      </c>
      <c r="BE45" t="s">
        <v>82</v>
      </c>
      <c r="BF45">
        <v>1</v>
      </c>
      <c r="BG45" t="s">
        <v>162</v>
      </c>
      <c r="BH45" t="s">
        <v>83</v>
      </c>
      <c r="BK45" s="2" t="s">
        <v>163</v>
      </c>
      <c r="BL45" t="str">
        <f>"2501 Paxton St"</f>
        <v>2501 Paxton St</v>
      </c>
      <c r="BM45" t="str">
        <f>"Suite A"</f>
        <v>Suite A</v>
      </c>
      <c r="BN45" t="str">
        <f>"Harrisburg"</f>
        <v>Harrisburg</v>
      </c>
      <c r="BO45" t="s">
        <v>164</v>
      </c>
      <c r="BP45" t="s">
        <v>165</v>
      </c>
      <c r="BQ45" s="7" t="str">
        <f>"17111"</f>
        <v>17111</v>
      </c>
      <c r="BR45" t="s">
        <v>83</v>
      </c>
      <c r="BS45" t="str">
        <f>""</f>
        <v/>
      </c>
    </row>
    <row r="46" spans="1:76" ht="15" customHeight="1" x14ac:dyDescent="0.25">
      <c r="A46" t="s">
        <v>166</v>
      </c>
      <c r="B46" t="s">
        <v>80</v>
      </c>
      <c r="C46" s="1">
        <v>43509</v>
      </c>
      <c r="G46" s="1">
        <v>45617</v>
      </c>
      <c r="H46" t="s">
        <v>100</v>
      </c>
      <c r="I46" t="str">
        <f>"SMITH"</f>
        <v>SMITH</v>
      </c>
      <c r="J46" t="str">
        <f>"DENISE"</f>
        <v>DENISE</v>
      </c>
      <c r="K46" t="str">
        <f>"RIDGILL"</f>
        <v>RIDGILL</v>
      </c>
      <c r="L46" t="str">
        <f>"PROGRAM DIRECTOR"</f>
        <v>PROGRAM DIRECTOR</v>
      </c>
      <c r="M46" t="str">
        <f>"45 COURTENAY DRIVE ROOM SS455"</f>
        <v>45 COURTENAY DRIVE ROOM SS455</v>
      </c>
      <c r="N46" t="str">
        <f>"MSC 203"</f>
        <v>MSC 203</v>
      </c>
      <c r="O46" t="str">
        <f>"CHARLESTON"</f>
        <v>CHARLESTON</v>
      </c>
      <c r="P46" t="str">
        <f>"SC"</f>
        <v>SC</v>
      </c>
      <c r="Q46" s="7" t="str">
        <f>"29425"</f>
        <v>29425</v>
      </c>
      <c r="R46" t="str">
        <f t="shared" ref="R46:R62" si="4">"UNITED STATES OF AMERICA"</f>
        <v>UNITED STATES OF AMERICA</v>
      </c>
      <c r="S46" t="str">
        <f>""</f>
        <v/>
      </c>
      <c r="T46" s="7" t="str">
        <f>"843-792-7083"</f>
        <v>843-792-7083</v>
      </c>
      <c r="U46" t="str">
        <f>""</f>
        <v/>
      </c>
      <c r="V46" s="9" t="str">
        <f>"843-792-6105"</f>
        <v>843-792-6105</v>
      </c>
      <c r="W46" t="str">
        <f>"FOWLED@MUSC.EDU"</f>
        <v>FOWLED@MUSC.EDU</v>
      </c>
      <c r="X46" t="str">
        <f>"MEDICAL UNIVERSITY OF SOUTH CAROLINA AND AFFILIATES"</f>
        <v>MEDICAL UNIVERSITY OF SOUTH CAROLINA AND AFFILIATES</v>
      </c>
      <c r="Y46" t="str">
        <f>"MEDICAL UNIVERSITY OF SOUTH CAROLINA AND AFFILIATES"</f>
        <v>MEDICAL UNIVERSITY OF SOUTH CAROLINA AND AFFILIATES</v>
      </c>
      <c r="Z46" t="str">
        <f>"171 ASHLEY AVENUE"</f>
        <v>171 ASHLEY AVENUE</v>
      </c>
      <c r="AA46" t="str">
        <f>""</f>
        <v/>
      </c>
      <c r="AB46" t="str">
        <f>"CHARLESTON"</f>
        <v>CHARLESTON</v>
      </c>
      <c r="AC46" t="str">
        <f>"SC"</f>
        <v>SC</v>
      </c>
      <c r="AD46" s="7" t="str">
        <f>"29425"</f>
        <v>29425</v>
      </c>
      <c r="AE46" t="str">
        <f t="shared" si="3"/>
        <v>UNITED STATES OF AMERICA</v>
      </c>
      <c r="AF46" t="str">
        <f>""</f>
        <v/>
      </c>
      <c r="AG46" s="9" t="str">
        <f>"843-792-7083"</f>
        <v>843-792-7083</v>
      </c>
      <c r="AH46" t="str">
        <f>""</f>
        <v/>
      </c>
      <c r="AI46" t="str">
        <f>"576000722"</f>
        <v>576000722</v>
      </c>
      <c r="AJ46" t="str">
        <f>"611310"</f>
        <v>611310</v>
      </c>
      <c r="AK46" t="s">
        <v>82</v>
      </c>
      <c r="AL46" t="s">
        <v>83</v>
      </c>
      <c r="AM46" t="s">
        <v>84</v>
      </c>
      <c r="AN46" t="s">
        <v>83</v>
      </c>
      <c r="AQ46" t="str">
        <f>"Assistant Professor"</f>
        <v>Assistant Professor</v>
      </c>
      <c r="AR46" t="str">
        <f>"29-1069"</f>
        <v>29-1069</v>
      </c>
      <c r="AS46" t="str">
        <f>"Physicians and Surgeons, All Other"</f>
        <v>Physicians and Surgeons, All Other</v>
      </c>
      <c r="AT46" t="str">
        <f>"Division Chief"</f>
        <v>Division Chief</v>
      </c>
      <c r="AU46" t="s">
        <v>83</v>
      </c>
      <c r="AV46" t="str">
        <f>""</f>
        <v/>
      </c>
      <c r="AW46" t="str">
        <f>"None"</f>
        <v>None</v>
      </c>
      <c r="AX46" t="s">
        <v>82</v>
      </c>
      <c r="AY46" t="str">
        <f>"Travel to additional work locations within Charleston County, SC and Horry County, SC"</f>
        <v>Travel to additional work locations within Charleston County, SC and Horry County, SC</v>
      </c>
      <c r="AZ46" t="s">
        <v>86</v>
      </c>
      <c r="BA46" t="s">
        <v>167</v>
      </c>
      <c r="BB46" t="s">
        <v>88</v>
      </c>
      <c r="BC46" t="s">
        <v>83</v>
      </c>
      <c r="BE46" t="s">
        <v>82</v>
      </c>
      <c r="BF46">
        <v>48</v>
      </c>
      <c r="BG46" t="s">
        <v>168</v>
      </c>
      <c r="BH46" t="s">
        <v>83</v>
      </c>
      <c r="BK46" t="s">
        <v>169</v>
      </c>
      <c r="BL46" t="str">
        <f>"30 Courtenay Drive"</f>
        <v>30 Courtenay Drive</v>
      </c>
      <c r="BM46" t="str">
        <f>""</f>
        <v/>
      </c>
      <c r="BN46" t="str">
        <f>"Charleston"</f>
        <v>Charleston</v>
      </c>
      <c r="BO46" t="s">
        <v>104</v>
      </c>
      <c r="BP46" t="s">
        <v>105</v>
      </c>
      <c r="BQ46" s="7" t="str">
        <f>"29425"</f>
        <v>29425</v>
      </c>
      <c r="BR46" t="s">
        <v>82</v>
      </c>
      <c r="BS46" t="str">
        <f>""</f>
        <v/>
      </c>
    </row>
    <row r="47" spans="1:76" ht="15" customHeight="1" x14ac:dyDescent="0.25">
      <c r="A47" t="s">
        <v>157</v>
      </c>
      <c r="B47" t="s">
        <v>80</v>
      </c>
      <c r="C47" s="1">
        <v>43508</v>
      </c>
      <c r="G47" s="1">
        <v>45617</v>
      </c>
      <c r="H47" t="s">
        <v>81</v>
      </c>
      <c r="I47" t="str">
        <f>"NOVAK"</f>
        <v>NOVAK</v>
      </c>
      <c r="J47" t="str">
        <f>"FRANCIS"</f>
        <v>FRANCIS</v>
      </c>
      <c r="K47" t="str">
        <f>"A"</f>
        <v>A</v>
      </c>
      <c r="L47" t="str">
        <f>"Partner - Roy"</f>
        <v>Partner - Roy</v>
      </c>
      <c r="M47" t="str">
        <f>"1600 BAUSCH &amp; LOMB PLACE"</f>
        <v>1600 BAUSCH &amp; LOMB PLACE</v>
      </c>
      <c r="N47" t="str">
        <f>"N/A"</f>
        <v>N/A</v>
      </c>
      <c r="O47" t="str">
        <f>"ROCHESTER"</f>
        <v>ROCHESTER</v>
      </c>
      <c r="P47" t="str">
        <f>"NY"</f>
        <v>NY</v>
      </c>
      <c r="Q47" s="7" t="str">
        <f>"14604"</f>
        <v>14604</v>
      </c>
      <c r="R47" t="str">
        <f t="shared" si="4"/>
        <v>UNITED STATES OF AMERICA</v>
      </c>
      <c r="S47" t="str">
        <f>""</f>
        <v/>
      </c>
      <c r="T47" s="7" t="str">
        <f>"585-231-1406"</f>
        <v>585-231-1406</v>
      </c>
      <c r="U47" t="str">
        <f>""</f>
        <v/>
      </c>
      <c r="V47" s="9" t="str">
        <f>"585-232-2152"</f>
        <v>585-232-2152</v>
      </c>
      <c r="W47" t="str">
        <f>"FNOVAK@HSELAW.COM"</f>
        <v>FNOVAK@HSELAW.COM</v>
      </c>
      <c r="X47" t="str">
        <f>"NAZARETH COLLEGE OF ROCHESTER"</f>
        <v>NAZARETH COLLEGE OF ROCHESTER</v>
      </c>
      <c r="Y47" t="str">
        <f>"N/A"</f>
        <v>N/A</v>
      </c>
      <c r="Z47" t="str">
        <f>"4245 EAST AVENUE"</f>
        <v>4245 EAST AVENUE</v>
      </c>
      <c r="AA47" t="str">
        <f>"N/A"</f>
        <v>N/A</v>
      </c>
      <c r="AB47" t="str">
        <f>"ROCHESTER"</f>
        <v>ROCHESTER</v>
      </c>
      <c r="AC47" t="str">
        <f>"NY"</f>
        <v>NY</v>
      </c>
      <c r="AD47" s="7" t="str">
        <f>"14618"</f>
        <v>14618</v>
      </c>
      <c r="AE47" t="str">
        <f t="shared" si="3"/>
        <v>UNITED STATES OF AMERICA</v>
      </c>
      <c r="AF47" t="str">
        <f>""</f>
        <v/>
      </c>
      <c r="AG47" s="9" t="str">
        <f>"585-389-4648"</f>
        <v>585-389-4648</v>
      </c>
      <c r="AH47" t="str">
        <f>""</f>
        <v/>
      </c>
      <c r="AI47" t="str">
        <f>"160743088"</f>
        <v>160743088</v>
      </c>
      <c r="AJ47" t="str">
        <f>"611310"</f>
        <v>611310</v>
      </c>
      <c r="AK47" t="s">
        <v>82</v>
      </c>
      <c r="AL47" t="s">
        <v>83</v>
      </c>
      <c r="AM47" t="s">
        <v>84</v>
      </c>
      <c r="AN47" t="s">
        <v>83</v>
      </c>
      <c r="AQ47" t="str">
        <f>"Assistant Professor"</f>
        <v>Assistant Professor</v>
      </c>
      <c r="AR47" t="str">
        <f>"25-1067"</f>
        <v>25-1067</v>
      </c>
      <c r="AS47" t="str">
        <f>"Sociology Teachers, Postsecondary"</f>
        <v>Sociology Teachers, Postsecondary</v>
      </c>
      <c r="AT47" t="str">
        <f>"Department Chair"</f>
        <v>Department Chair</v>
      </c>
      <c r="AU47" t="s">
        <v>83</v>
      </c>
      <c r="AV47" t="str">
        <f>""</f>
        <v/>
      </c>
      <c r="AW47" t="str">
        <f>"None"</f>
        <v>None</v>
      </c>
      <c r="AX47" t="s">
        <v>83</v>
      </c>
      <c r="AY47" t="str">
        <f>""</f>
        <v/>
      </c>
      <c r="AZ47" t="s">
        <v>114</v>
      </c>
      <c r="BA47" t="s">
        <v>84</v>
      </c>
      <c r="BB47" t="s">
        <v>158</v>
      </c>
      <c r="BC47" t="s">
        <v>83</v>
      </c>
      <c r="BE47" t="s">
        <v>83</v>
      </c>
      <c r="BH47" t="s">
        <v>83</v>
      </c>
      <c r="BK47" t="s">
        <v>123</v>
      </c>
      <c r="BL47" t="str">
        <f>"Nazareth College of Rochester"</f>
        <v>Nazareth College of Rochester</v>
      </c>
      <c r="BM47" t="str">
        <f>"4245 East Avenue"</f>
        <v>4245 East Avenue</v>
      </c>
      <c r="BN47" t="str">
        <f>"Rochester"</f>
        <v>Rochester</v>
      </c>
      <c r="BO47" t="s">
        <v>159</v>
      </c>
      <c r="BP47" t="s">
        <v>119</v>
      </c>
      <c r="BQ47" s="7" t="str">
        <f>"14618"</f>
        <v>14618</v>
      </c>
      <c r="BR47" t="s">
        <v>83</v>
      </c>
      <c r="BS47" t="str">
        <f>""</f>
        <v/>
      </c>
    </row>
    <row r="48" spans="1:76" ht="15" customHeight="1" x14ac:dyDescent="0.25">
      <c r="A48" t="s">
        <v>148</v>
      </c>
      <c r="B48" t="s">
        <v>80</v>
      </c>
      <c r="C48" s="1">
        <v>43504</v>
      </c>
      <c r="G48" s="1">
        <v>45617</v>
      </c>
      <c r="H48" t="s">
        <v>81</v>
      </c>
      <c r="I48" t="str">
        <f>"JIANG"</f>
        <v>JIANG</v>
      </c>
      <c r="J48" t="str">
        <f>"HELEN"</f>
        <v>HELEN</v>
      </c>
      <c r="K48" t="str">
        <f>"BING"</f>
        <v>BING</v>
      </c>
      <c r="L48" t="str">
        <f>"Attorney"</f>
        <v>Attorney</v>
      </c>
      <c r="M48" t="str">
        <f>"923 E VALLEY BLVD"</f>
        <v>923 E VALLEY BLVD</v>
      </c>
      <c r="N48" t="str">
        <f>"SUITE 112A"</f>
        <v>SUITE 112A</v>
      </c>
      <c r="O48" t="str">
        <f>"SAN GABRIEL"</f>
        <v>SAN GABRIEL</v>
      </c>
      <c r="P48" t="str">
        <f>"CA"</f>
        <v>CA</v>
      </c>
      <c r="Q48" s="7" t="str">
        <f>"91776"</f>
        <v>91776</v>
      </c>
      <c r="R48" t="str">
        <f t="shared" si="4"/>
        <v>UNITED STATES OF AMERICA</v>
      </c>
      <c r="S48" t="str">
        <f>""</f>
        <v/>
      </c>
      <c r="T48" s="7" t="str">
        <f>"626-286-6558"</f>
        <v>626-286-6558</v>
      </c>
      <c r="U48" t="str">
        <f>""</f>
        <v/>
      </c>
      <c r="V48" s="9" t="str">
        <f>"626-573-9053"</f>
        <v>626-573-9053</v>
      </c>
      <c r="W48" t="str">
        <f>"HBJIANG@SBCGLOBAL.NET"</f>
        <v>HBJIANG@SBCGLOBAL.NET</v>
      </c>
      <c r="X48" t="str">
        <f>"ARANDA TOOLING, INC."</f>
        <v>ARANDA TOOLING, INC.</v>
      </c>
      <c r="Y48" t="str">
        <f>""</f>
        <v/>
      </c>
      <c r="Z48" t="str">
        <f>"13950 Yorba Ave."</f>
        <v>13950 Yorba Ave.</v>
      </c>
      <c r="AA48" t="str">
        <f>""</f>
        <v/>
      </c>
      <c r="AB48" t="str">
        <f>"Chino"</f>
        <v>Chino</v>
      </c>
      <c r="AC48" t="str">
        <f>"CA"</f>
        <v>CA</v>
      </c>
      <c r="AD48" s="7" t="str">
        <f>"91710"</f>
        <v>91710</v>
      </c>
      <c r="AE48" t="str">
        <f t="shared" si="3"/>
        <v>UNITED STATES OF AMERICA</v>
      </c>
      <c r="AF48" t="str">
        <f>""</f>
        <v/>
      </c>
      <c r="AG48" s="9" t="str">
        <f>"714-379-6565"</f>
        <v>714-379-6565</v>
      </c>
      <c r="AH48" t="str">
        <f>"8111"</f>
        <v>8111</v>
      </c>
      <c r="AI48" t="str">
        <f>"953250587"</f>
        <v>953250587</v>
      </c>
      <c r="AJ48" t="str">
        <f>"333517"</f>
        <v>333517</v>
      </c>
      <c r="AK48" t="s">
        <v>83</v>
      </c>
      <c r="AL48" t="s">
        <v>83</v>
      </c>
      <c r="AM48" t="s">
        <v>84</v>
      </c>
      <c r="AN48" t="s">
        <v>83</v>
      </c>
      <c r="AQ48" t="str">
        <f>"Quality Manager"</f>
        <v>Quality Manager</v>
      </c>
      <c r="AR48" t="str">
        <f>"17-2141"</f>
        <v>17-2141</v>
      </c>
      <c r="AS48" t="str">
        <f>"Mechanical Engineers"</f>
        <v>Mechanical Engineers</v>
      </c>
      <c r="AT48" t="str">
        <f>"Vice President"</f>
        <v>Vice President</v>
      </c>
      <c r="AU48" t="s">
        <v>82</v>
      </c>
      <c r="AV48" t="str">
        <f>"17"</f>
        <v>17</v>
      </c>
      <c r="AW48" t="str">
        <f>"Subordinate"</f>
        <v>Subordinate</v>
      </c>
      <c r="AX48" t="s">
        <v>83</v>
      </c>
      <c r="AY48" t="str">
        <f>""</f>
        <v/>
      </c>
      <c r="AZ48" t="s">
        <v>107</v>
      </c>
      <c r="BB48" t="s">
        <v>149</v>
      </c>
      <c r="BC48" t="s">
        <v>83</v>
      </c>
      <c r="BE48" t="s">
        <v>83</v>
      </c>
      <c r="BH48" t="s">
        <v>82</v>
      </c>
      <c r="BI48">
        <v>24</v>
      </c>
      <c r="BJ48" t="s">
        <v>150</v>
      </c>
      <c r="BK48" t="s">
        <v>151</v>
      </c>
      <c r="BL48" t="str">
        <f>"13950 Yorba Ave."</f>
        <v>13950 Yorba Ave.</v>
      </c>
      <c r="BM48" t="str">
        <f>""</f>
        <v/>
      </c>
      <c r="BN48" t="str">
        <f>"CHINO"</f>
        <v>CHINO</v>
      </c>
      <c r="BO48" t="s">
        <v>152</v>
      </c>
      <c r="BP48" t="s">
        <v>153</v>
      </c>
      <c r="BQ48" s="7" t="str">
        <f>"91710"</f>
        <v>91710</v>
      </c>
      <c r="BR48" t="s">
        <v>83</v>
      </c>
      <c r="BS48" t="str">
        <f>"17-2112.00"</f>
        <v>17-2112.00</v>
      </c>
      <c r="BU48" s="3">
        <v>55182</v>
      </c>
      <c r="BV48" t="s">
        <v>154</v>
      </c>
      <c r="BW48" t="s">
        <v>155</v>
      </c>
      <c r="BX48" t="s">
        <v>156</v>
      </c>
    </row>
    <row r="49" spans="1:71" ht="15" customHeight="1" x14ac:dyDescent="0.25">
      <c r="A49" t="s">
        <v>138</v>
      </c>
      <c r="B49" t="s">
        <v>80</v>
      </c>
      <c r="C49" s="1">
        <v>43497</v>
      </c>
      <c r="G49" s="1">
        <v>45617</v>
      </c>
      <c r="H49" t="s">
        <v>81</v>
      </c>
      <c r="I49" t="str">
        <f>"Lentini McCullough"</f>
        <v>Lentini McCullough</v>
      </c>
      <c r="J49" t="str">
        <f>"Jacqueline"</f>
        <v>Jacqueline</v>
      </c>
      <c r="K49" t="str">
        <f>"Ann"</f>
        <v>Ann</v>
      </c>
      <c r="L49" t="str">
        <f>"Of Counsel"</f>
        <v>Of Counsel</v>
      </c>
      <c r="M49" t="str">
        <f>"55 SHUMAN BLVD."</f>
        <v>55 SHUMAN BLVD.</v>
      </c>
      <c r="N49" t="str">
        <f>"SUITE 850"</f>
        <v>SUITE 850</v>
      </c>
      <c r="O49" t="str">
        <f>"NAPERVILLE"</f>
        <v>NAPERVILLE</v>
      </c>
      <c r="P49" t="str">
        <f>"IL"</f>
        <v>IL</v>
      </c>
      <c r="Q49" s="7" t="str">
        <f>"60563"</f>
        <v>60563</v>
      </c>
      <c r="R49" t="str">
        <f t="shared" si="4"/>
        <v>UNITED STATES OF AMERICA</v>
      </c>
      <c r="S49" t="str">
        <f>""</f>
        <v/>
      </c>
      <c r="T49" s="7" t="str">
        <f>"630-357-5700"</f>
        <v>630-357-5700</v>
      </c>
      <c r="U49" t="str">
        <f>""</f>
        <v/>
      </c>
      <c r="V49" s="9" t="str">
        <f>"630-548-3505"</f>
        <v>630-548-3505</v>
      </c>
      <c r="W49" t="str">
        <f>"jacki@LAWGUSTAFSSON.COM"</f>
        <v>jacki@LAWGUSTAFSSON.COM</v>
      </c>
      <c r="X49" t="str">
        <f>"Scana Steel USA, Inc"</f>
        <v>Scana Steel USA, Inc</v>
      </c>
      <c r="Y49" t="str">
        <f>"N/A"</f>
        <v>N/A</v>
      </c>
      <c r="Z49" t="str">
        <f>"563 Rock Road Drive"</f>
        <v>563 Rock Road Drive</v>
      </c>
      <c r="AA49" t="str">
        <f>""</f>
        <v/>
      </c>
      <c r="AB49" t="str">
        <f>"East Dundee"</f>
        <v>East Dundee</v>
      </c>
      <c r="AC49" t="str">
        <f>"IL"</f>
        <v>IL</v>
      </c>
      <c r="AD49" s="7" t="str">
        <f>"60118"</f>
        <v>60118</v>
      </c>
      <c r="AE49" t="str">
        <f t="shared" si="3"/>
        <v>UNITED STATES OF AMERICA</v>
      </c>
      <c r="AF49" t="str">
        <f>""</f>
        <v/>
      </c>
      <c r="AG49" s="9" t="str">
        <f>"847-806-9800"</f>
        <v>847-806-9800</v>
      </c>
      <c r="AH49" t="str">
        <f>""</f>
        <v/>
      </c>
      <c r="AI49" t="str">
        <f>"814716964"</f>
        <v>814716964</v>
      </c>
      <c r="AJ49" t="str">
        <f>"561499"</f>
        <v>561499</v>
      </c>
      <c r="AK49" t="s">
        <v>83</v>
      </c>
      <c r="AL49" t="s">
        <v>83</v>
      </c>
      <c r="AM49" t="s">
        <v>84</v>
      </c>
      <c r="AN49" t="s">
        <v>83</v>
      </c>
      <c r="AQ49" t="str">
        <f>"President"</f>
        <v>President</v>
      </c>
      <c r="AR49" t="str">
        <f>"11-3051"</f>
        <v>11-3051</v>
      </c>
      <c r="AS49" t="str">
        <f>"Industrial Production Managers"</f>
        <v>Industrial Production Managers</v>
      </c>
      <c r="AT49" t="str">
        <f>"Chief Executive Officer"</f>
        <v>Chief Executive Officer</v>
      </c>
      <c r="AU49" t="s">
        <v>82</v>
      </c>
      <c r="AV49" t="str">
        <f>"4"</f>
        <v>4</v>
      </c>
      <c r="AW49" t="str">
        <f>"Subordinate"</f>
        <v>Subordinate</v>
      </c>
      <c r="AX49" t="s">
        <v>82</v>
      </c>
      <c r="AY49" t="str">
        <f>"30% traveling inside USA."</f>
        <v>30% traveling inside USA.</v>
      </c>
      <c r="AZ49" t="s">
        <v>93</v>
      </c>
      <c r="BB49" t="s">
        <v>139</v>
      </c>
      <c r="BC49" t="s">
        <v>83</v>
      </c>
      <c r="BE49" t="s">
        <v>83</v>
      </c>
      <c r="BH49" t="s">
        <v>82</v>
      </c>
      <c r="BI49">
        <v>36</v>
      </c>
      <c r="BJ49" t="s">
        <v>140</v>
      </c>
      <c r="BK49" t="s">
        <v>141</v>
      </c>
      <c r="BL49" t="str">
        <f>"563 Rock Road"</f>
        <v>563 Rock Road</v>
      </c>
      <c r="BM49" t="str">
        <f>""</f>
        <v/>
      </c>
      <c r="BN49" t="str">
        <f>"East Dundee"</f>
        <v>East Dundee</v>
      </c>
      <c r="BO49" t="s">
        <v>142</v>
      </c>
      <c r="BP49" t="s">
        <v>143</v>
      </c>
      <c r="BQ49" s="7" t="str">
        <f>"60118"</f>
        <v>60118</v>
      </c>
      <c r="BR49" t="s">
        <v>83</v>
      </c>
      <c r="BS49" t="str">
        <f>""</f>
        <v/>
      </c>
    </row>
    <row r="50" spans="1:71" ht="15" customHeight="1" x14ac:dyDescent="0.25">
      <c r="A50" t="s">
        <v>144</v>
      </c>
      <c r="B50" t="s">
        <v>80</v>
      </c>
      <c r="C50" s="1">
        <v>43497</v>
      </c>
      <c r="G50" s="1">
        <v>45617</v>
      </c>
      <c r="H50" t="s">
        <v>100</v>
      </c>
      <c r="I50" t="str">
        <f>"LARKIN"</f>
        <v>LARKIN</v>
      </c>
      <c r="J50" t="str">
        <f>"JAMES"</f>
        <v>JAMES</v>
      </c>
      <c r="K50" t="str">
        <f>"CHISTOPHER"</f>
        <v>CHISTOPHER</v>
      </c>
      <c r="L50" t="str">
        <f>"INTERNATIONAL STUDENT &amp; SCHOLAR ADVISOR"</f>
        <v>INTERNATIONAL STUDENT &amp; SCHOLAR ADVISOR</v>
      </c>
      <c r="M50" t="str">
        <f>"105 B.B. COMER HALL"</f>
        <v>105 B.B. COMER HALL</v>
      </c>
      <c r="N50" t="str">
        <f>"BOX 870254"</f>
        <v>BOX 870254</v>
      </c>
      <c r="O50" t="str">
        <f>"TUSCALOOSA"</f>
        <v>TUSCALOOSA</v>
      </c>
      <c r="P50" t="str">
        <f>"AL"</f>
        <v>AL</v>
      </c>
      <c r="Q50" s="7" t="str">
        <f>"35487"</f>
        <v>35487</v>
      </c>
      <c r="R50" t="str">
        <f t="shared" si="4"/>
        <v>UNITED STATES OF AMERICA</v>
      </c>
      <c r="S50" t="str">
        <f>""</f>
        <v/>
      </c>
      <c r="T50" s="7" t="str">
        <f>"205-348-5402"</f>
        <v>205-348-5402</v>
      </c>
      <c r="U50" t="str">
        <f>""</f>
        <v/>
      </c>
      <c r="V50" s="9" t="str">
        <f>"205-348-5406"</f>
        <v>205-348-5406</v>
      </c>
      <c r="W50" t="str">
        <f>"CHRIS.LARKIN@UA.EDU"</f>
        <v>CHRIS.LARKIN@UA.EDU</v>
      </c>
      <c r="X50" t="str">
        <f>"THE UNIVERSITY OF ALABAMA"</f>
        <v>THE UNIVERSITY OF ALABAMA</v>
      </c>
      <c r="Y50" t="str">
        <f>""</f>
        <v/>
      </c>
      <c r="Z50" t="str">
        <f>"105 B.B. COMER HALL"</f>
        <v>105 B.B. COMER HALL</v>
      </c>
      <c r="AA50" t="str">
        <f>"BOX 870254"</f>
        <v>BOX 870254</v>
      </c>
      <c r="AB50" t="str">
        <f>"TUSCALOOSA"</f>
        <v>TUSCALOOSA</v>
      </c>
      <c r="AC50" t="str">
        <f>"AL"</f>
        <v>AL</v>
      </c>
      <c r="AD50" s="7" t="str">
        <f>"35487"</f>
        <v>35487</v>
      </c>
      <c r="AE50" t="str">
        <f t="shared" si="3"/>
        <v>UNITED STATES OF AMERICA</v>
      </c>
      <c r="AF50" t="str">
        <f>""</f>
        <v/>
      </c>
      <c r="AG50" s="9" t="str">
        <f>"205-348-5402"</f>
        <v>205-348-5402</v>
      </c>
      <c r="AH50" t="str">
        <f>""</f>
        <v/>
      </c>
      <c r="AI50" t="str">
        <f>"636001138"</f>
        <v>636001138</v>
      </c>
      <c r="AJ50" t="str">
        <f>"611310"</f>
        <v>611310</v>
      </c>
      <c r="AK50" t="s">
        <v>82</v>
      </c>
      <c r="AL50" t="s">
        <v>83</v>
      </c>
      <c r="AM50" t="s">
        <v>84</v>
      </c>
      <c r="AN50" t="s">
        <v>83</v>
      </c>
      <c r="AQ50" t="str">
        <f>"Instructor"</f>
        <v>Instructor</v>
      </c>
      <c r="AR50" t="str">
        <f>"15-2099"</f>
        <v>15-2099</v>
      </c>
      <c r="AS50" t="str">
        <f>"Mathematical Science Occupations, All Other"</f>
        <v>Mathematical Science Occupations, All Other</v>
      </c>
      <c r="AT50" t="str">
        <f>"Department Chair"</f>
        <v>Department Chair</v>
      </c>
      <c r="AU50" t="s">
        <v>83</v>
      </c>
      <c r="AV50" t="str">
        <f>""</f>
        <v/>
      </c>
      <c r="AW50" t="str">
        <f>"None"</f>
        <v>None</v>
      </c>
      <c r="AX50" t="s">
        <v>83</v>
      </c>
      <c r="AY50" t="str">
        <f>""</f>
        <v/>
      </c>
      <c r="AZ50" t="s">
        <v>93</v>
      </c>
      <c r="BB50" t="s">
        <v>145</v>
      </c>
      <c r="BC50" t="s">
        <v>83</v>
      </c>
      <c r="BE50" t="s">
        <v>83</v>
      </c>
      <c r="BH50" t="s">
        <v>83</v>
      </c>
      <c r="BK50" t="s">
        <v>84</v>
      </c>
      <c r="BL50" t="str">
        <f>"901 Paul W. Bryant Drive"</f>
        <v>901 Paul W. Bryant Drive</v>
      </c>
      <c r="BM50" t="str">
        <f>"Tutwiler Hall"</f>
        <v>Tutwiler Hall</v>
      </c>
      <c r="BN50" t="str">
        <f>"Tuscaloosa"</f>
        <v>Tuscaloosa</v>
      </c>
      <c r="BO50" t="s">
        <v>146</v>
      </c>
      <c r="BP50" t="s">
        <v>147</v>
      </c>
      <c r="BQ50" s="7" t="str">
        <f>"35401"</f>
        <v>35401</v>
      </c>
      <c r="BR50" t="s">
        <v>83</v>
      </c>
      <c r="BS50" t="str">
        <f>""</f>
        <v/>
      </c>
    </row>
    <row r="51" spans="1:71" ht="15" customHeight="1" x14ac:dyDescent="0.25">
      <c r="A51" t="s">
        <v>133</v>
      </c>
      <c r="B51" t="s">
        <v>80</v>
      </c>
      <c r="C51" s="1">
        <v>43496</v>
      </c>
      <c r="G51" s="1">
        <v>45617</v>
      </c>
      <c r="H51" t="s">
        <v>81</v>
      </c>
      <c r="I51" t="str">
        <f>"Grenier, Esq."</f>
        <v>Grenier, Esq.</v>
      </c>
      <c r="J51" t="str">
        <f>"Amy"</f>
        <v>Amy</v>
      </c>
      <c r="K51" t="str">
        <f>"Rose"</f>
        <v>Rose</v>
      </c>
      <c r="L51" t="str">
        <f>"Attorney"</f>
        <v>Attorney</v>
      </c>
      <c r="M51" t="str">
        <f>"177 MILK STREET"</f>
        <v>177 MILK STREET</v>
      </c>
      <c r="N51" t="str">
        <f>"SUITE 605"</f>
        <v>SUITE 605</v>
      </c>
      <c r="O51" t="str">
        <f>"BOSTON"</f>
        <v>BOSTON</v>
      </c>
      <c r="P51" t="str">
        <f>"MA"</f>
        <v>MA</v>
      </c>
      <c r="Q51" s="7" t="str">
        <f>"02109"</f>
        <v>02109</v>
      </c>
      <c r="R51" t="str">
        <f t="shared" si="4"/>
        <v>UNITED STATES OF AMERICA</v>
      </c>
      <c r="S51" t="str">
        <f>""</f>
        <v/>
      </c>
      <c r="T51" s="7" t="str">
        <f>"617-357-9300"</f>
        <v>617-357-9300</v>
      </c>
      <c r="U51" t="str">
        <f>""</f>
        <v/>
      </c>
      <c r="V51" s="9" t="str">
        <f>"857-991-1209"</f>
        <v>857-991-1209</v>
      </c>
      <c r="W51" t="str">
        <f>"info@GOSSIMMIGRATION.COM"</f>
        <v>info@GOSSIMMIGRATION.COM</v>
      </c>
      <c r="X51" t="str">
        <f>"Quantco, Inc."</f>
        <v>Quantco, Inc.</v>
      </c>
      <c r="Y51" t="str">
        <f>""</f>
        <v/>
      </c>
      <c r="Z51" t="str">
        <f>"800 Boylston St."</f>
        <v>800 Boylston St.</v>
      </c>
      <c r="AA51" t="str">
        <f>"Floor 16"</f>
        <v>Floor 16</v>
      </c>
      <c r="AB51" t="str">
        <f>"Boston"</f>
        <v>Boston</v>
      </c>
      <c r="AC51" t="str">
        <f>"MA"</f>
        <v>MA</v>
      </c>
      <c r="AD51" s="7" t="str">
        <f>"02199"</f>
        <v>02199</v>
      </c>
      <c r="AE51" t="str">
        <f t="shared" si="3"/>
        <v>UNITED STATES OF AMERICA</v>
      </c>
      <c r="AF51" t="str">
        <f>""</f>
        <v/>
      </c>
      <c r="AG51" s="9" t="str">
        <f>"617-359-1460"</f>
        <v>617-359-1460</v>
      </c>
      <c r="AH51" t="str">
        <f>""</f>
        <v/>
      </c>
      <c r="AI51" t="str">
        <f>"874798866"</f>
        <v>874798866</v>
      </c>
      <c r="AJ51" t="str">
        <f>"541690"</f>
        <v>541690</v>
      </c>
      <c r="AK51" t="s">
        <v>83</v>
      </c>
      <c r="AL51" t="s">
        <v>83</v>
      </c>
      <c r="AM51" t="s">
        <v>84</v>
      </c>
      <c r="AN51" t="s">
        <v>83</v>
      </c>
      <c r="AQ51" t="str">
        <f>"Managing Director, Quantitative Projects"</f>
        <v>Managing Director, Quantitative Projects</v>
      </c>
      <c r="AR51" t="str">
        <f>"15-2031"</f>
        <v>15-2031</v>
      </c>
      <c r="AS51" t="str">
        <f>"Operations Research Analysts"</f>
        <v>Operations Research Analysts</v>
      </c>
      <c r="AT51" t="str">
        <f>"President"</f>
        <v>President</v>
      </c>
      <c r="AU51" t="s">
        <v>82</v>
      </c>
      <c r="AV51" t="str">
        <f>"2"</f>
        <v>2</v>
      </c>
      <c r="AW51" t="str">
        <f>"Subordinate"</f>
        <v>Subordinate</v>
      </c>
      <c r="AX51" t="s">
        <v>82</v>
      </c>
      <c r="AY51" t="str">
        <f>"Frequent domestic and international travel required."</f>
        <v>Frequent domestic and international travel required.</v>
      </c>
      <c r="AZ51" t="s">
        <v>114</v>
      </c>
      <c r="BB51" t="s">
        <v>134</v>
      </c>
      <c r="BC51" t="s">
        <v>83</v>
      </c>
      <c r="BE51" t="s">
        <v>83</v>
      </c>
      <c r="BH51" t="s">
        <v>83</v>
      </c>
      <c r="BK51" s="2" t="s">
        <v>135</v>
      </c>
      <c r="BL51" t="str">
        <f>"800 Boylston St. Floor 16"</f>
        <v>800 Boylston St. Floor 16</v>
      </c>
      <c r="BM51" t="str">
        <f>""</f>
        <v/>
      </c>
      <c r="BN51" t="str">
        <f>"Boston"</f>
        <v>Boston</v>
      </c>
      <c r="BO51" t="s">
        <v>136</v>
      </c>
      <c r="BP51" t="s">
        <v>137</v>
      </c>
      <c r="BQ51" s="7" t="str">
        <f>"02199"</f>
        <v>02199</v>
      </c>
      <c r="BR51" t="s">
        <v>83</v>
      </c>
      <c r="BS51" t="str">
        <f>""</f>
        <v/>
      </c>
    </row>
    <row r="52" spans="1:71" ht="15" customHeight="1" x14ac:dyDescent="0.25">
      <c r="A52" t="s">
        <v>128</v>
      </c>
      <c r="B52" t="s">
        <v>80</v>
      </c>
      <c r="C52" s="1">
        <v>43487</v>
      </c>
      <c r="G52" s="1">
        <v>45617</v>
      </c>
      <c r="H52" t="s">
        <v>81</v>
      </c>
      <c r="I52" t="str">
        <f>"BUTTE"</f>
        <v>BUTTE</v>
      </c>
      <c r="J52" t="str">
        <f>"DAGMAR"</f>
        <v>DAGMAR</v>
      </c>
      <c r="K52" t="str">
        <f>"NMN"</f>
        <v>NMN</v>
      </c>
      <c r="L52" t="str">
        <f>"ATTORNEY"</f>
        <v>ATTORNEY</v>
      </c>
      <c r="M52" t="str">
        <f>"1200 NW NAITO PARKWAY"</f>
        <v>1200 NW NAITO PARKWAY</v>
      </c>
      <c r="N52" t="str">
        <f>"SUITE 200"</f>
        <v>SUITE 200</v>
      </c>
      <c r="O52" t="str">
        <f>"PORTLAND"</f>
        <v>PORTLAND</v>
      </c>
      <c r="P52" t="str">
        <f>"OR"</f>
        <v>OR</v>
      </c>
      <c r="Q52" s="7" t="str">
        <f>"97209"</f>
        <v>97209</v>
      </c>
      <c r="R52" t="str">
        <f t="shared" si="4"/>
        <v>UNITED STATES OF AMERICA</v>
      </c>
      <c r="S52" t="str">
        <f>"N/A"</f>
        <v>N/A</v>
      </c>
      <c r="T52" s="7" t="str">
        <f>"503-241-1320"</f>
        <v>503-241-1320</v>
      </c>
      <c r="U52" t="str">
        <f>"148"</f>
        <v>148</v>
      </c>
      <c r="V52" s="9" t="str">
        <f>"503-323-9058"</f>
        <v>503-323-9058</v>
      </c>
      <c r="W52" t="str">
        <f>"AMD@PBL.NET"</f>
        <v>AMD@PBL.NET</v>
      </c>
      <c r="X52" t="str">
        <f>"OREGON HEALTH &amp; SCIENCE UNIVERSITY"</f>
        <v>OREGON HEALTH &amp; SCIENCE UNIVERSITY</v>
      </c>
      <c r="Y52" t="str">
        <f>"N/A"</f>
        <v>N/A</v>
      </c>
      <c r="Z52" t="str">
        <f>"3181 SW SAM JACKSON PARK ROAD"</f>
        <v>3181 SW SAM JACKSON PARK ROAD</v>
      </c>
      <c r="AA52" t="str">
        <f>"L453"</f>
        <v>L453</v>
      </c>
      <c r="AB52" t="str">
        <f>"PORTLAND"</f>
        <v>PORTLAND</v>
      </c>
      <c r="AC52" t="str">
        <f>"OR"</f>
        <v>OR</v>
      </c>
      <c r="AD52" s="7" t="str">
        <f>"97239-3098"</f>
        <v>97239-3098</v>
      </c>
      <c r="AE52" t="str">
        <f t="shared" si="3"/>
        <v>UNITED STATES OF AMERICA</v>
      </c>
      <c r="AF52" t="str">
        <f>"N/A"</f>
        <v>N/A</v>
      </c>
      <c r="AG52" s="9" t="str">
        <f>"503-418-2632"</f>
        <v>503-418-2632</v>
      </c>
      <c r="AH52" t="str">
        <f>""</f>
        <v/>
      </c>
      <c r="AI52" t="str">
        <f>"931176109"</f>
        <v>931176109</v>
      </c>
      <c r="AJ52" t="str">
        <f>"611310"</f>
        <v>611310</v>
      </c>
      <c r="AK52" t="s">
        <v>82</v>
      </c>
      <c r="AL52" t="s">
        <v>83</v>
      </c>
      <c r="AM52" t="s">
        <v>84</v>
      </c>
      <c r="AN52" t="s">
        <v>83</v>
      </c>
      <c r="AQ52" t="str">
        <f>"ASSISTANT PROFESSOR"</f>
        <v>ASSISTANT PROFESSOR</v>
      </c>
      <c r="AR52" t="str">
        <f>"29-1064"</f>
        <v>29-1064</v>
      </c>
      <c r="AS52" t="str">
        <f>"Obstetricians and Gynecologists"</f>
        <v>Obstetricians and Gynecologists</v>
      </c>
      <c r="AT52" t="str">
        <f>"ASSISTANT PROFESSOR OF OB/GYN"</f>
        <v>ASSISTANT PROFESSOR OF OB/GYN</v>
      </c>
      <c r="AU52" t="s">
        <v>83</v>
      </c>
      <c r="AV52" t="str">
        <f>""</f>
        <v/>
      </c>
      <c r="AW52" t="str">
        <f>"None"</f>
        <v>None</v>
      </c>
      <c r="AX52" t="s">
        <v>82</v>
      </c>
      <c r="AY52" t="str">
        <f>"Will travel to Salem, OR as necessary."</f>
        <v>Will travel to Salem, OR as necessary.</v>
      </c>
      <c r="AZ52" t="s">
        <v>86</v>
      </c>
      <c r="BA52" t="s">
        <v>87</v>
      </c>
      <c r="BB52" t="s">
        <v>129</v>
      </c>
      <c r="BC52" t="s">
        <v>83</v>
      </c>
      <c r="BE52" t="s">
        <v>83</v>
      </c>
      <c r="BH52" t="s">
        <v>83</v>
      </c>
      <c r="BK52" s="2" t="s">
        <v>130</v>
      </c>
      <c r="BL52" t="str">
        <f>"3181 SW SAM JACKSON PARK ROAD"</f>
        <v>3181 SW SAM JACKSON PARK ROAD</v>
      </c>
      <c r="BM52" t="str">
        <f>"L466"</f>
        <v>L466</v>
      </c>
      <c r="BN52" t="str">
        <f>"PORTLAND"</f>
        <v>PORTLAND</v>
      </c>
      <c r="BO52" t="s">
        <v>131</v>
      </c>
      <c r="BP52" t="s">
        <v>132</v>
      </c>
      <c r="BQ52" s="7" t="str">
        <f>"97339"</f>
        <v>97339</v>
      </c>
      <c r="BR52" t="s">
        <v>82</v>
      </c>
      <c r="BS52" t="str">
        <f>""</f>
        <v/>
      </c>
    </row>
    <row r="53" spans="1:71" ht="15" customHeight="1" x14ac:dyDescent="0.25">
      <c r="A53" t="s">
        <v>113</v>
      </c>
      <c r="B53" t="s">
        <v>80</v>
      </c>
      <c r="C53" s="1">
        <v>43481</v>
      </c>
      <c r="G53" s="1">
        <v>45617</v>
      </c>
      <c r="H53" t="s">
        <v>81</v>
      </c>
      <c r="I53" t="str">
        <f>"Ansbach"</f>
        <v>Ansbach</v>
      </c>
      <c r="J53" t="str">
        <f>"Cindy"</f>
        <v>Cindy</v>
      </c>
      <c r="K53" t="str">
        <f>"Kang"</f>
        <v>Kang</v>
      </c>
      <c r="L53" t="str">
        <f>"ATTORNEY"</f>
        <v>ATTORNEY</v>
      </c>
      <c r="M53" t="str">
        <f>"12655 N. CENTRAL EXPWY"</f>
        <v>12655 N. CENTRAL EXPWY</v>
      </c>
      <c r="N53" t="str">
        <f>"SUITE 275"</f>
        <v>SUITE 275</v>
      </c>
      <c r="O53" t="str">
        <f>"DALLAS"</f>
        <v>DALLAS</v>
      </c>
      <c r="P53" t="str">
        <f>"TX"</f>
        <v>TX</v>
      </c>
      <c r="Q53" s="7" t="str">
        <f>"75243"</f>
        <v>75243</v>
      </c>
      <c r="R53" t="str">
        <f t="shared" si="4"/>
        <v>UNITED STATES OF AMERICA</v>
      </c>
      <c r="S53" t="str">
        <f>""</f>
        <v/>
      </c>
      <c r="T53" s="7" t="str">
        <f>"972-521-6650"</f>
        <v>972-521-6650</v>
      </c>
      <c r="U53" t="str">
        <f>""</f>
        <v/>
      </c>
      <c r="V53" s="9" t="str">
        <f>"972-521-6649"</f>
        <v>972-521-6649</v>
      </c>
      <c r="W53" t="str">
        <f>"CINDY@AGFIRM.NET"</f>
        <v>CINDY@AGFIRM.NET</v>
      </c>
      <c r="X53" t="str">
        <f>"LONG ISLAND UNIVERSITY"</f>
        <v>LONG ISLAND UNIVERSITY</v>
      </c>
      <c r="Y53" t="str">
        <f>""</f>
        <v/>
      </c>
      <c r="Z53" t="str">
        <f>"700 NORTHERN BOULEVARD"</f>
        <v>700 NORTHERN BOULEVARD</v>
      </c>
      <c r="AA53" t="str">
        <f>""</f>
        <v/>
      </c>
      <c r="AB53" t="str">
        <f>"BROOKVILLE"</f>
        <v>BROOKVILLE</v>
      </c>
      <c r="AC53" t="str">
        <f>"NY"</f>
        <v>NY</v>
      </c>
      <c r="AD53" s="7" t="str">
        <f>"11548"</f>
        <v>11548</v>
      </c>
      <c r="AE53" t="str">
        <f t="shared" si="3"/>
        <v>UNITED STATES OF AMERICA</v>
      </c>
      <c r="AF53" t="str">
        <f>""</f>
        <v/>
      </c>
      <c r="AG53" s="9" t="str">
        <f>"516-299-3488"</f>
        <v>516-299-3488</v>
      </c>
      <c r="AH53" t="str">
        <f>""</f>
        <v/>
      </c>
      <c r="AI53" t="str">
        <f>"111633516"</f>
        <v>111633516</v>
      </c>
      <c r="AJ53" t="str">
        <f>"611310"</f>
        <v>611310</v>
      </c>
      <c r="AK53" t="s">
        <v>82</v>
      </c>
      <c r="AL53" t="s">
        <v>83</v>
      </c>
      <c r="AM53" t="s">
        <v>84</v>
      </c>
      <c r="AN53" t="s">
        <v>83</v>
      </c>
      <c r="AQ53" t="str">
        <f>"Assistant Professor"</f>
        <v>Assistant Professor</v>
      </c>
      <c r="AR53" t="str">
        <f>"25-1042"</f>
        <v>25-1042</v>
      </c>
      <c r="AS53" t="str">
        <f>"Biological Science Teachers, Postsecondary"</f>
        <v>Biological Science Teachers, Postsecondary</v>
      </c>
      <c r="AT53" t="str">
        <f>""</f>
        <v/>
      </c>
      <c r="AU53" t="s">
        <v>83</v>
      </c>
      <c r="AV53" t="str">
        <f>""</f>
        <v/>
      </c>
      <c r="AW53" t="str">
        <f>"None"</f>
        <v>None</v>
      </c>
      <c r="AX53" t="s">
        <v>83</v>
      </c>
      <c r="AY53" t="str">
        <f>""</f>
        <v/>
      </c>
      <c r="AZ53" t="s">
        <v>114</v>
      </c>
      <c r="BB53" t="s">
        <v>115</v>
      </c>
      <c r="BC53" t="s">
        <v>83</v>
      </c>
      <c r="BE53" t="s">
        <v>83</v>
      </c>
      <c r="BH53" t="s">
        <v>82</v>
      </c>
      <c r="BI53">
        <v>60</v>
      </c>
      <c r="BJ53" t="s">
        <v>116</v>
      </c>
      <c r="BK53" s="2" t="s">
        <v>117</v>
      </c>
      <c r="BL53" t="str">
        <f>"700 NORTHERN BOULEVARD"</f>
        <v>700 NORTHERN BOULEVARD</v>
      </c>
      <c r="BM53" t="str">
        <f>""</f>
        <v/>
      </c>
      <c r="BN53" t="str">
        <f>"BROOKVILLE"</f>
        <v>BROOKVILLE</v>
      </c>
      <c r="BO53" t="s">
        <v>118</v>
      </c>
      <c r="BP53" t="s">
        <v>119</v>
      </c>
      <c r="BQ53" s="7" t="str">
        <f>"11548"</f>
        <v>11548</v>
      </c>
      <c r="BR53" t="s">
        <v>83</v>
      </c>
      <c r="BS53" t="str">
        <f>""</f>
        <v/>
      </c>
    </row>
    <row r="54" spans="1:71" ht="15" customHeight="1" x14ac:dyDescent="0.25">
      <c r="A54" t="s">
        <v>120</v>
      </c>
      <c r="B54" t="s">
        <v>80</v>
      </c>
      <c r="C54" s="1">
        <v>43481</v>
      </c>
      <c r="G54" s="1">
        <v>45617</v>
      </c>
      <c r="H54" t="s">
        <v>121</v>
      </c>
      <c r="I54" t="str">
        <f>"DEES"</f>
        <v>DEES</v>
      </c>
      <c r="J54" t="str">
        <f>"ASHLEY"</f>
        <v>ASHLEY</v>
      </c>
      <c r="K54" t="str">
        <f>"FORET"</f>
        <v>FORET</v>
      </c>
      <c r="L54" t="str">
        <f>"Attorney"</f>
        <v>Attorney</v>
      </c>
      <c r="M54" t="str">
        <f>"517 Broad Street"</f>
        <v>517 Broad Street</v>
      </c>
      <c r="N54" t="str">
        <f>"N/A"</f>
        <v>N/A</v>
      </c>
      <c r="O54" t="str">
        <f>"LAKE CHARLES"</f>
        <v>LAKE CHARLES</v>
      </c>
      <c r="P54" t="str">
        <f>"LA"</f>
        <v>LA</v>
      </c>
      <c r="Q54" s="7" t="str">
        <f>"70601"</f>
        <v>70601</v>
      </c>
      <c r="R54" t="str">
        <f t="shared" si="4"/>
        <v>UNITED STATES OF AMERICA</v>
      </c>
      <c r="S54" t="str">
        <f>""</f>
        <v/>
      </c>
      <c r="T54" s="7" t="str">
        <f>"337-214-0354"</f>
        <v>337-214-0354</v>
      </c>
      <c r="U54" t="str">
        <f>""</f>
        <v/>
      </c>
      <c r="V54" s="9" t="str">
        <f>"337-326-5543"</f>
        <v>337-326-5543</v>
      </c>
      <c r="W54" t="str">
        <f>"ASHLEY@AFDEES.COM"</f>
        <v>ASHLEY@AFDEES.COM</v>
      </c>
      <c r="X54" t="str">
        <f>"Bocage Crawfish, LLC"</f>
        <v>Bocage Crawfish, LLC</v>
      </c>
      <c r="Y54" t="str">
        <f>"N/A"</f>
        <v>N/A</v>
      </c>
      <c r="Z54" t="str">
        <f>"6118 Egan Hwy"</f>
        <v>6118 Egan Hwy</v>
      </c>
      <c r="AA54" t="str">
        <f>"N/A"</f>
        <v>N/A</v>
      </c>
      <c r="AB54" t="str">
        <f>"Crowley"</f>
        <v>Crowley</v>
      </c>
      <c r="AC54" t="str">
        <f>"LA"</f>
        <v>LA</v>
      </c>
      <c r="AD54" s="7" t="str">
        <f>"70526"</f>
        <v>70526</v>
      </c>
      <c r="AE54" t="str">
        <f t="shared" si="3"/>
        <v>UNITED STATES OF AMERICA</v>
      </c>
      <c r="AF54" t="str">
        <f>""</f>
        <v/>
      </c>
      <c r="AG54" s="9" t="str">
        <f>"337-581-8441"</f>
        <v>337-581-8441</v>
      </c>
      <c r="AH54" t="str">
        <f>""</f>
        <v/>
      </c>
      <c r="AI54" t="str">
        <f>"371794406"</f>
        <v>371794406</v>
      </c>
      <c r="AJ54" t="str">
        <f>"311712"</f>
        <v>311712</v>
      </c>
      <c r="AK54" t="s">
        <v>83</v>
      </c>
      <c r="AL54" t="s">
        <v>83</v>
      </c>
      <c r="AM54" t="s">
        <v>84</v>
      </c>
      <c r="AN54" t="s">
        <v>82</v>
      </c>
      <c r="AO54" t="s">
        <v>122</v>
      </c>
      <c r="AP54" s="1">
        <v>43348</v>
      </c>
      <c r="AQ54" t="str">
        <f>"Crawfish and Crab Processor"</f>
        <v>Crawfish and Crab Processor</v>
      </c>
      <c r="AR54" t="str">
        <f>"51-3022"</f>
        <v>51-3022</v>
      </c>
      <c r="AS54" t="str">
        <f>"Meat, Poultry, and Fish Cutters and Trimmers"</f>
        <v>Meat, Poultry, and Fish Cutters and Trimmers</v>
      </c>
      <c r="AT54" t="str">
        <f>"N/A"</f>
        <v>N/A</v>
      </c>
      <c r="AU54" t="s">
        <v>83</v>
      </c>
      <c r="AV54" t="str">
        <f>""</f>
        <v/>
      </c>
      <c r="AW54" t="str">
        <f>"None"</f>
        <v>None</v>
      </c>
      <c r="AX54" t="s">
        <v>83</v>
      </c>
      <c r="AY54" t="str">
        <f>""</f>
        <v/>
      </c>
      <c r="AZ54" t="s">
        <v>123</v>
      </c>
      <c r="BA54" t="s">
        <v>84</v>
      </c>
      <c r="BB54" t="s">
        <v>84</v>
      </c>
      <c r="BC54" t="s">
        <v>83</v>
      </c>
      <c r="BE54" t="s">
        <v>83</v>
      </c>
      <c r="BH54" t="s">
        <v>82</v>
      </c>
      <c r="BI54">
        <v>3</v>
      </c>
      <c r="BJ54" t="s">
        <v>124</v>
      </c>
      <c r="BK54" t="s">
        <v>125</v>
      </c>
      <c r="BL54" t="str">
        <f>"6118 Egan Highway"</f>
        <v>6118 Egan Highway</v>
      </c>
      <c r="BM54" t="str">
        <f>"N/A"</f>
        <v>N/A</v>
      </c>
      <c r="BN54" t="str">
        <f>"Crowley"</f>
        <v>Crowley</v>
      </c>
      <c r="BO54" t="s">
        <v>126</v>
      </c>
      <c r="BP54" t="s">
        <v>127</v>
      </c>
      <c r="BQ54" s="7" t="str">
        <f>"70526"</f>
        <v>70526</v>
      </c>
      <c r="BR54" t="s">
        <v>82</v>
      </c>
      <c r="BS54" t="str">
        <f>""</f>
        <v/>
      </c>
    </row>
    <row r="55" spans="1:71" ht="15" customHeight="1" x14ac:dyDescent="0.25">
      <c r="A55" t="s">
        <v>106</v>
      </c>
      <c r="B55" t="s">
        <v>80</v>
      </c>
      <c r="C55" s="1">
        <v>43479</v>
      </c>
      <c r="G55" s="1">
        <v>45617</v>
      </c>
      <c r="H55" t="s">
        <v>81</v>
      </c>
      <c r="I55" t="str">
        <f>"HEYER"</f>
        <v>HEYER</v>
      </c>
      <c r="J55" t="str">
        <f>"COLE"</f>
        <v>COLE</v>
      </c>
      <c r="K55" t="str">
        <f>"F."</f>
        <v>F.</v>
      </c>
      <c r="L55" t="str">
        <f>"Associate"</f>
        <v>Associate</v>
      </c>
      <c r="M55" t="str">
        <f>"3333 PIEDMONT ROAD NE"</f>
        <v>3333 PIEDMONT ROAD NE</v>
      </c>
      <c r="N55" t="str">
        <f>"SUITE 2500"</f>
        <v>SUITE 2500</v>
      </c>
      <c r="O55" t="str">
        <f>"ATLANTA"</f>
        <v>ATLANTA</v>
      </c>
      <c r="P55" t="str">
        <f>"GA"</f>
        <v>GA</v>
      </c>
      <c r="Q55" s="7" t="str">
        <f>"30305"</f>
        <v>30305</v>
      </c>
      <c r="R55" t="str">
        <f t="shared" si="4"/>
        <v>UNITED STATES OF AMERICA</v>
      </c>
      <c r="S55" t="str">
        <f>"N/A"</f>
        <v>N/A</v>
      </c>
      <c r="T55" s="7" t="str">
        <f>"678-553-2117"</f>
        <v>678-553-2117</v>
      </c>
      <c r="U55" t="str">
        <f>""</f>
        <v/>
      </c>
      <c r="V55" s="9" t="str">
        <f>"678-553-7317"</f>
        <v>678-553-7317</v>
      </c>
      <c r="W55" t="str">
        <f>"Ascena@GTLAW.COM"</f>
        <v>Ascena@GTLAW.COM</v>
      </c>
      <c r="X55" t="str">
        <f>"ASCENA RETAIL GROUP, INC."</f>
        <v>ASCENA RETAIL GROUP, INC.</v>
      </c>
      <c r="Y55" t="str">
        <f>""</f>
        <v/>
      </c>
      <c r="Z55" t="str">
        <f>"112 HERITAGE DRIVE"</f>
        <v>112 HERITAGE DRIVE</v>
      </c>
      <c r="AA55" t="str">
        <f>""</f>
        <v/>
      </c>
      <c r="AB55" t="str">
        <f>"PATASKALA"</f>
        <v>PATASKALA</v>
      </c>
      <c r="AC55" t="str">
        <f>"OH"</f>
        <v>OH</v>
      </c>
      <c r="AD55" s="7" t="str">
        <f>"43062"</f>
        <v>43062</v>
      </c>
      <c r="AE55" t="str">
        <f t="shared" si="3"/>
        <v>UNITED STATES OF AMERICA</v>
      </c>
      <c r="AF55" t="str">
        <f>""</f>
        <v/>
      </c>
      <c r="AG55" s="9" t="str">
        <f>"212-536-4599"</f>
        <v>212-536-4599</v>
      </c>
      <c r="AH55" t="str">
        <f>""</f>
        <v/>
      </c>
      <c r="AI55" t="str">
        <f>"300641353"</f>
        <v>300641353</v>
      </c>
      <c r="AJ55" t="str">
        <f>"448120"</f>
        <v>448120</v>
      </c>
      <c r="AK55" t="s">
        <v>83</v>
      </c>
      <c r="AL55" t="s">
        <v>83</v>
      </c>
      <c r="AM55" t="s">
        <v>84</v>
      </c>
      <c r="AN55" t="s">
        <v>83</v>
      </c>
      <c r="AQ55" t="str">
        <f>"OMS Technical Lead"</f>
        <v>OMS Technical Lead</v>
      </c>
      <c r="AR55" t="str">
        <f>"15-1132"</f>
        <v>15-1132</v>
      </c>
      <c r="AS55" t="str">
        <f>"Software Developers, Applications"</f>
        <v>Software Developers, Applications</v>
      </c>
      <c r="AT55" t="str">
        <f>""</f>
        <v/>
      </c>
      <c r="AU55" t="s">
        <v>82</v>
      </c>
      <c r="AV55" t="str">
        <f>"2"</f>
        <v>2</v>
      </c>
      <c r="AW55" t="str">
        <f>"Subordinate"</f>
        <v>Subordinate</v>
      </c>
      <c r="AX55" t="s">
        <v>83</v>
      </c>
      <c r="AY55" t="str">
        <f>""</f>
        <v/>
      </c>
      <c r="AZ55" t="s">
        <v>107</v>
      </c>
      <c r="BB55" t="s">
        <v>108</v>
      </c>
      <c r="BC55" t="s">
        <v>83</v>
      </c>
      <c r="BE55" t="s">
        <v>83</v>
      </c>
      <c r="BH55" t="s">
        <v>82</v>
      </c>
      <c r="BI55">
        <v>84</v>
      </c>
      <c r="BJ55" t="s">
        <v>109</v>
      </c>
      <c r="BK55" s="2" t="s">
        <v>110</v>
      </c>
      <c r="BL55" t="str">
        <f>"112 Heritage Drive"</f>
        <v>112 Heritage Drive</v>
      </c>
      <c r="BM55" t="str">
        <f>""</f>
        <v/>
      </c>
      <c r="BN55" t="str">
        <f>"Pataskala"</f>
        <v>Pataskala</v>
      </c>
      <c r="BO55" t="s">
        <v>111</v>
      </c>
      <c r="BP55" t="s">
        <v>112</v>
      </c>
      <c r="BQ55" s="7" t="str">
        <f>"43062"</f>
        <v>43062</v>
      </c>
      <c r="BR55" t="s">
        <v>83</v>
      </c>
      <c r="BS55" t="str">
        <f>""</f>
        <v/>
      </c>
    </row>
    <row r="56" spans="1:71" ht="15" customHeight="1" x14ac:dyDescent="0.25">
      <c r="A56" t="s">
        <v>92</v>
      </c>
      <c r="B56" t="s">
        <v>80</v>
      </c>
      <c r="C56" s="1">
        <v>43475</v>
      </c>
      <c r="G56" s="1">
        <v>45617</v>
      </c>
      <c r="H56" t="s">
        <v>81</v>
      </c>
      <c r="I56" t="str">
        <f>"LLOYD"</f>
        <v>LLOYD</v>
      </c>
      <c r="J56" t="str">
        <f>"SAMANTHA"</f>
        <v>SAMANTHA</v>
      </c>
      <c r="K56" t="str">
        <f>"D"</f>
        <v>D</v>
      </c>
      <c r="L56" t="str">
        <f>"ATTORNEY"</f>
        <v>ATTORNEY</v>
      </c>
      <c r="M56" t="str">
        <f>"OGLETREE DEAKINS"</f>
        <v>OGLETREE DEAKINS</v>
      </c>
      <c r="N56" t="str">
        <f>"2000 S COLORADO BLVD, TOWER 3, SUITE 900"</f>
        <v>2000 S COLORADO BLVD, TOWER 3, SUITE 900</v>
      </c>
      <c r="O56" t="str">
        <f>"DENVER"</f>
        <v>DENVER</v>
      </c>
      <c r="P56" t="str">
        <f>"CO"</f>
        <v>CO</v>
      </c>
      <c r="Q56" s="7" t="str">
        <f>"80222"</f>
        <v>80222</v>
      </c>
      <c r="R56" t="str">
        <f t="shared" si="4"/>
        <v>UNITED STATES OF AMERICA</v>
      </c>
      <c r="S56" t="str">
        <f>""</f>
        <v/>
      </c>
      <c r="T56" s="7" t="str">
        <f>"303-764-6831"</f>
        <v>303-764-6831</v>
      </c>
      <c r="U56" t="str">
        <f>""</f>
        <v/>
      </c>
      <c r="V56" s="9" t="str">
        <f>"303-830-7989"</f>
        <v>303-830-7989</v>
      </c>
      <c r="W56" t="str">
        <f>"JUMIN.CHEN@OGLETREEDEAKINS.COM"</f>
        <v>JUMIN.CHEN@OGLETREEDEAKINS.COM</v>
      </c>
      <c r="X56" t="str">
        <f>"WESTERN UNION LLC"</f>
        <v>WESTERN UNION LLC</v>
      </c>
      <c r="Y56" t="str">
        <f>""</f>
        <v/>
      </c>
      <c r="Z56" t="str">
        <f>"7001 EAST BELLEVIEW AVE"</f>
        <v>7001 EAST BELLEVIEW AVE</v>
      </c>
      <c r="AA56" t="str">
        <f>""</f>
        <v/>
      </c>
      <c r="AB56" t="str">
        <f>"DENVER"</f>
        <v>DENVER</v>
      </c>
      <c r="AC56" t="str">
        <f>"CO"</f>
        <v>CO</v>
      </c>
      <c r="AD56" s="7" t="str">
        <f>"80237"</f>
        <v>80237</v>
      </c>
      <c r="AE56" t="str">
        <f t="shared" si="3"/>
        <v>UNITED STATES OF AMERICA</v>
      </c>
      <c r="AF56" t="str">
        <f>""</f>
        <v/>
      </c>
      <c r="AG56" s="9" t="str">
        <f>"720-332-0284"</f>
        <v>720-332-0284</v>
      </c>
      <c r="AH56" t="str">
        <f>""</f>
        <v/>
      </c>
      <c r="AI56" t="str">
        <f>"204561550"</f>
        <v>204561550</v>
      </c>
      <c r="AJ56" t="str">
        <f>"522320"</f>
        <v>522320</v>
      </c>
      <c r="AK56" t="s">
        <v>83</v>
      </c>
      <c r="AL56" t="s">
        <v>83</v>
      </c>
      <c r="AM56" t="s">
        <v>84</v>
      </c>
      <c r="AN56" t="s">
        <v>83</v>
      </c>
      <c r="AQ56" t="str">
        <f>"Strategic Intelligence Manager"</f>
        <v>Strategic Intelligence Manager</v>
      </c>
      <c r="AR56" t="str">
        <f>"13-2041"</f>
        <v>13-2041</v>
      </c>
      <c r="AS56" t="str">
        <f>"Credit Analysts"</f>
        <v>Credit Analysts</v>
      </c>
      <c r="AT56" t="str">
        <f>"Director, Financial Intelligence Unit"</f>
        <v>Director, Financial Intelligence Unit</v>
      </c>
      <c r="AU56" t="s">
        <v>83</v>
      </c>
      <c r="AV56" t="str">
        <f>""</f>
        <v/>
      </c>
      <c r="AW56" t="str">
        <f>"None"</f>
        <v>None</v>
      </c>
      <c r="AX56" t="s">
        <v>83</v>
      </c>
      <c r="AY56" t="str">
        <f>""</f>
        <v/>
      </c>
      <c r="AZ56" t="s">
        <v>93</v>
      </c>
      <c r="BB56" t="s">
        <v>94</v>
      </c>
      <c r="BC56" t="s">
        <v>83</v>
      </c>
      <c r="BE56" t="s">
        <v>83</v>
      </c>
      <c r="BH56" t="s">
        <v>82</v>
      </c>
      <c r="BI56">
        <v>12</v>
      </c>
      <c r="BJ56" t="s">
        <v>95</v>
      </c>
      <c r="BK56" s="2" t="s">
        <v>96</v>
      </c>
      <c r="BL56" t="str">
        <f>"7979 East Tufts Ave"</f>
        <v>7979 East Tufts Ave</v>
      </c>
      <c r="BM56" t="str">
        <f>""</f>
        <v/>
      </c>
      <c r="BN56" t="str">
        <f>"Denver"</f>
        <v>Denver</v>
      </c>
      <c r="BO56" t="s">
        <v>97</v>
      </c>
      <c r="BP56" t="s">
        <v>98</v>
      </c>
      <c r="BQ56" s="7" t="str">
        <f>"80237"</f>
        <v>80237</v>
      </c>
      <c r="BR56" t="s">
        <v>83</v>
      </c>
      <c r="BS56" t="str">
        <f>""</f>
        <v/>
      </c>
    </row>
    <row r="57" spans="1:71" ht="15" customHeight="1" x14ac:dyDescent="0.25">
      <c r="A57" t="s">
        <v>99</v>
      </c>
      <c r="B57" t="s">
        <v>80</v>
      </c>
      <c r="C57" s="1">
        <v>43475</v>
      </c>
      <c r="G57" s="1">
        <v>45617</v>
      </c>
      <c r="H57" t="s">
        <v>100</v>
      </c>
      <c r="I57" t="str">
        <f>"SMITH"</f>
        <v>SMITH</v>
      </c>
      <c r="J57" t="str">
        <f>"DENISE"</f>
        <v>DENISE</v>
      </c>
      <c r="K57" t="str">
        <f>"RIDGILL"</f>
        <v>RIDGILL</v>
      </c>
      <c r="L57" t="str">
        <f>"PROGRAM DIRECTOR"</f>
        <v>PROGRAM DIRECTOR</v>
      </c>
      <c r="M57" t="str">
        <f>"45 COURTENAY DRIVE ROOM SS455"</f>
        <v>45 COURTENAY DRIVE ROOM SS455</v>
      </c>
      <c r="N57" t="str">
        <f>"MSC 203"</f>
        <v>MSC 203</v>
      </c>
      <c r="O57" t="str">
        <f>"CHARLESTON"</f>
        <v>CHARLESTON</v>
      </c>
      <c r="P57" t="str">
        <f>"SC"</f>
        <v>SC</v>
      </c>
      <c r="Q57" s="7" t="str">
        <f>"29425"</f>
        <v>29425</v>
      </c>
      <c r="R57" t="str">
        <f t="shared" si="4"/>
        <v>UNITED STATES OF AMERICA</v>
      </c>
      <c r="S57" t="str">
        <f>""</f>
        <v/>
      </c>
      <c r="T57" s="7" t="str">
        <f>"843-792-7083"</f>
        <v>843-792-7083</v>
      </c>
      <c r="U57" t="str">
        <f>""</f>
        <v/>
      </c>
      <c r="V57" s="9" t="str">
        <f>"843-792-6105"</f>
        <v>843-792-6105</v>
      </c>
      <c r="W57" t="str">
        <f>"FOWLED@MUSC.EDU"</f>
        <v>FOWLED@MUSC.EDU</v>
      </c>
      <c r="X57" t="str">
        <f>"MEDICAL UNIVERSITY OF SOUTH CAROLINA AND AFFILIATES"</f>
        <v>MEDICAL UNIVERSITY OF SOUTH CAROLINA AND AFFILIATES</v>
      </c>
      <c r="Y57" t="str">
        <f>"MEDICAL UNIVERSITY OF SOUTH CAROLINA AND AFFILIATES"</f>
        <v>MEDICAL UNIVERSITY OF SOUTH CAROLINA AND AFFILIATES</v>
      </c>
      <c r="Z57" t="str">
        <f>"171 ASHLEY AVENUE"</f>
        <v>171 ASHLEY AVENUE</v>
      </c>
      <c r="AA57" t="str">
        <f>""</f>
        <v/>
      </c>
      <c r="AB57" t="str">
        <f>"CHARLESTON"</f>
        <v>CHARLESTON</v>
      </c>
      <c r="AC57" t="str">
        <f>"SC"</f>
        <v>SC</v>
      </c>
      <c r="AD57" s="7" t="str">
        <f>"29425"</f>
        <v>29425</v>
      </c>
      <c r="AE57" t="str">
        <f t="shared" si="3"/>
        <v>UNITED STATES OF AMERICA</v>
      </c>
      <c r="AF57" t="str">
        <f>""</f>
        <v/>
      </c>
      <c r="AG57" s="9" t="str">
        <f>"843-792-7083"</f>
        <v>843-792-7083</v>
      </c>
      <c r="AH57" t="str">
        <f>""</f>
        <v/>
      </c>
      <c r="AI57" t="str">
        <f>"576000722"</f>
        <v>576000722</v>
      </c>
      <c r="AJ57" t="str">
        <f>"611310"</f>
        <v>611310</v>
      </c>
      <c r="AK57" t="s">
        <v>82</v>
      </c>
      <c r="AL57" t="s">
        <v>83</v>
      </c>
      <c r="AM57" t="s">
        <v>84</v>
      </c>
      <c r="AN57" t="s">
        <v>83</v>
      </c>
      <c r="AQ57" t="str">
        <f>"Assistant Professor"</f>
        <v>Assistant Professor</v>
      </c>
      <c r="AR57" t="str">
        <f>"29-1069"</f>
        <v>29-1069</v>
      </c>
      <c r="AS57" t="str">
        <f>"Physicians and Surgeons, All Other"</f>
        <v>Physicians and Surgeons, All Other</v>
      </c>
      <c r="AT57" t="str">
        <f>"Division Chief"</f>
        <v>Division Chief</v>
      </c>
      <c r="AU57" t="s">
        <v>82</v>
      </c>
      <c r="AV57" t="str">
        <f>"6"</f>
        <v>6</v>
      </c>
      <c r="AW57" t="str">
        <f>"Subordinate"</f>
        <v>Subordinate</v>
      </c>
      <c r="AX57" t="s">
        <v>83</v>
      </c>
      <c r="AY57" t="str">
        <f>""</f>
        <v/>
      </c>
      <c r="AZ57" t="s">
        <v>86</v>
      </c>
      <c r="BA57" t="s">
        <v>101</v>
      </c>
      <c r="BB57" t="s">
        <v>88</v>
      </c>
      <c r="BC57" t="s">
        <v>83</v>
      </c>
      <c r="BE57" t="s">
        <v>82</v>
      </c>
      <c r="BF57">
        <v>36</v>
      </c>
      <c r="BG57" t="s">
        <v>102</v>
      </c>
      <c r="BH57" t="s">
        <v>83</v>
      </c>
      <c r="BK57" t="s">
        <v>103</v>
      </c>
      <c r="BL57" t="str">
        <f>"39 Sabin Street"</f>
        <v>39 Sabin Street</v>
      </c>
      <c r="BM57" t="str">
        <f>""</f>
        <v/>
      </c>
      <c r="BN57" t="str">
        <f>"Charleston"</f>
        <v>Charleston</v>
      </c>
      <c r="BO57" t="s">
        <v>104</v>
      </c>
      <c r="BP57" t="s">
        <v>105</v>
      </c>
      <c r="BQ57" s="7" t="str">
        <f>"29425"</f>
        <v>29425</v>
      </c>
      <c r="BR57" t="s">
        <v>82</v>
      </c>
      <c r="BS57" t="str">
        <f>""</f>
        <v/>
      </c>
    </row>
    <row r="58" spans="1:71" ht="15" customHeight="1" x14ac:dyDescent="0.25">
      <c r="A58" t="s">
        <v>79</v>
      </c>
      <c r="B58" t="s">
        <v>80</v>
      </c>
      <c r="C58" s="1">
        <v>43472</v>
      </c>
      <c r="G58" s="1">
        <v>45617</v>
      </c>
      <c r="H58" t="s">
        <v>81</v>
      </c>
      <c r="I58" t="str">
        <f>"REH"</f>
        <v>REH</v>
      </c>
      <c r="J58" t="str">
        <f>"ANGELA"</f>
        <v>ANGELA</v>
      </c>
      <c r="K58" t="str">
        <f>"-"</f>
        <v>-</v>
      </c>
      <c r="L58" t="str">
        <f>"Immigration Coordinator"</f>
        <v>Immigration Coordinator</v>
      </c>
      <c r="M58" t="str">
        <f>"INTERNATIONAL STUDENTS AND SCHOLARS SERVICES"</f>
        <v>INTERNATIONAL STUDENTS AND SCHOLARS SERVICES</v>
      </c>
      <c r="N58" t="str">
        <f>"101 Purinton House, PO Box 6313"</f>
        <v>101 Purinton House, PO Box 6313</v>
      </c>
      <c r="O58" t="str">
        <f>"MORGANTOWN"</f>
        <v>MORGANTOWN</v>
      </c>
      <c r="P58" t="str">
        <f>"WV"</f>
        <v>WV</v>
      </c>
      <c r="Q58" s="7" t="str">
        <f>"26506"</f>
        <v>26506</v>
      </c>
      <c r="R58" t="str">
        <f t="shared" si="4"/>
        <v>UNITED STATES OF AMERICA</v>
      </c>
      <c r="S58" t="str">
        <f>""</f>
        <v/>
      </c>
      <c r="T58" s="7" t="str">
        <f>"304-293-6953"</f>
        <v>304-293-6953</v>
      </c>
      <c r="U58" t="str">
        <f>""</f>
        <v/>
      </c>
      <c r="V58" s="9" t="str">
        <f>"304-293-5745"</f>
        <v>304-293-5745</v>
      </c>
      <c r="W58" t="str">
        <f>"ANGELA.REH@MAIL.WVU.EDU"</f>
        <v>ANGELA.REH@MAIL.WVU.EDU</v>
      </c>
      <c r="X58" t="str">
        <f>"WEST VIRGINIA UNIVERSITY"</f>
        <v>WEST VIRGINIA UNIVERSITY</v>
      </c>
      <c r="Y58" t="str">
        <f>"HIGHER EDUCATION"</f>
        <v>HIGHER EDUCATION</v>
      </c>
      <c r="Z58" t="str">
        <f>"INTERNATIONAL STUDENTS AND SCHOLARS SERVICES"</f>
        <v>INTERNATIONAL STUDENTS AND SCHOLARS SERVICES</v>
      </c>
      <c r="AA58" t="str">
        <f>"101 Purinton House, PO Box 6313"</f>
        <v>101 Purinton House, PO Box 6313</v>
      </c>
      <c r="AB58" t="str">
        <f>"MORGANTOWN"</f>
        <v>MORGANTOWN</v>
      </c>
      <c r="AC58" t="str">
        <f>"WV"</f>
        <v>WV</v>
      </c>
      <c r="AD58" s="7" t="str">
        <f>"26506"</f>
        <v>26506</v>
      </c>
      <c r="AE58" t="str">
        <f t="shared" si="3"/>
        <v>UNITED STATES OF AMERICA</v>
      </c>
      <c r="AF58" t="str">
        <f>""</f>
        <v/>
      </c>
      <c r="AG58" s="9" t="str">
        <f>"304-293-3519"</f>
        <v>304-293-3519</v>
      </c>
      <c r="AH58" t="str">
        <f>""</f>
        <v/>
      </c>
      <c r="AI58" t="str">
        <f>"556000842"</f>
        <v>556000842</v>
      </c>
      <c r="AJ58" t="str">
        <f>"611310"</f>
        <v>611310</v>
      </c>
      <c r="AK58" t="s">
        <v>82</v>
      </c>
      <c r="AL58" t="s">
        <v>83</v>
      </c>
      <c r="AM58" t="s">
        <v>84</v>
      </c>
      <c r="AN58" t="s">
        <v>83</v>
      </c>
      <c r="AQ58" t="str">
        <f>"Assistant Professor"</f>
        <v>Assistant Professor</v>
      </c>
      <c r="AR58" t="str">
        <f>"25-1071"</f>
        <v>25-1071</v>
      </c>
      <c r="AS58" t="str">
        <f>"Health Specialties Teachers, Postsecondary"</f>
        <v>Health Specialties Teachers, Postsecondary</v>
      </c>
      <c r="AT58" t="str">
        <f>"Section Chief"</f>
        <v>Section Chief</v>
      </c>
      <c r="AU58" t="s">
        <v>83</v>
      </c>
      <c r="AV58" t="str">
        <f>""</f>
        <v/>
      </c>
      <c r="AW58" t="str">
        <f>"None"</f>
        <v>None</v>
      </c>
      <c r="AX58" t="s">
        <v>82</v>
      </c>
      <c r="AY58" s="2" t="s">
        <v>85</v>
      </c>
      <c r="AZ58" t="s">
        <v>86</v>
      </c>
      <c r="BA58" t="s">
        <v>87</v>
      </c>
      <c r="BB58" t="s">
        <v>88</v>
      </c>
      <c r="BC58" t="s">
        <v>83</v>
      </c>
      <c r="BE58" t="s">
        <v>83</v>
      </c>
      <c r="BH58" t="s">
        <v>83</v>
      </c>
      <c r="BK58" t="s">
        <v>89</v>
      </c>
      <c r="BL58" t="str">
        <f>"WVU Department of Medicine"</f>
        <v>WVU Department of Medicine</v>
      </c>
      <c r="BM58" t="str">
        <f>"1 Medical Center Drive, HSC North"</f>
        <v>1 Medical Center Drive, HSC North</v>
      </c>
      <c r="BN58" t="str">
        <f>"Morgantown"</f>
        <v>Morgantown</v>
      </c>
      <c r="BO58" t="s">
        <v>90</v>
      </c>
      <c r="BP58" t="s">
        <v>91</v>
      </c>
      <c r="BQ58" s="7" t="str">
        <f>"26506"</f>
        <v>26506</v>
      </c>
      <c r="BR58" t="s">
        <v>82</v>
      </c>
      <c r="BS58" t="str">
        <f>""</f>
        <v/>
      </c>
    </row>
    <row r="59" spans="1:71" ht="15" customHeight="1" x14ac:dyDescent="0.25">
      <c r="A59" t="s">
        <v>441</v>
      </c>
      <c r="B59" t="s">
        <v>80</v>
      </c>
      <c r="C59" s="1">
        <v>43465</v>
      </c>
      <c r="G59" s="1">
        <v>45617</v>
      </c>
      <c r="H59" t="s">
        <v>81</v>
      </c>
      <c r="I59" t="str">
        <f>"LIST"</f>
        <v>LIST</v>
      </c>
      <c r="J59" t="str">
        <f>"MEGHAN"</f>
        <v>MEGHAN</v>
      </c>
      <c r="K59" t="str">
        <f>"E"</f>
        <v>E</v>
      </c>
      <c r="L59" t="str">
        <f>"PARALEGAL"</f>
        <v>PARALEGAL</v>
      </c>
      <c r="M59" t="str">
        <f>"800 NICOLLET MALL, 21ST FLOOR"</f>
        <v>800 NICOLLET MALL, 21ST FLOOR</v>
      </c>
      <c r="N59" t="str">
        <f>"BC-MN-H21N"</f>
        <v>BC-MN-H21N</v>
      </c>
      <c r="O59" t="str">
        <f>"MINNEAPOLIS"</f>
        <v>MINNEAPOLIS</v>
      </c>
      <c r="P59" t="str">
        <f>"MN"</f>
        <v>MN</v>
      </c>
      <c r="Q59" s="7" t="str">
        <f>"55402"</f>
        <v>55402</v>
      </c>
      <c r="R59" t="str">
        <f t="shared" si="4"/>
        <v>UNITED STATES OF AMERICA</v>
      </c>
      <c r="S59" t="str">
        <f>""</f>
        <v/>
      </c>
      <c r="T59" s="7" t="str">
        <f>"612-303-9931"</f>
        <v>612-303-9931</v>
      </c>
      <c r="U59" t="str">
        <f>""</f>
        <v/>
      </c>
      <c r="V59" s="9" t="str">
        <f>""</f>
        <v/>
      </c>
      <c r="W59" t="str">
        <f>"MEGHAN.LIST@USBANK.COM"</f>
        <v>MEGHAN.LIST@USBANK.COM</v>
      </c>
      <c r="X59" t="str">
        <f>"U.S. BANK NATIONAL ASSOCIATION"</f>
        <v>U.S. BANK NATIONAL ASSOCIATION</v>
      </c>
      <c r="Y59" t="str">
        <f>"U.S. BANK"</f>
        <v>U.S. BANK</v>
      </c>
      <c r="Z59" t="str">
        <f>"800 NICOLLET MALL, 21ST FLOOR"</f>
        <v>800 NICOLLET MALL, 21ST FLOOR</v>
      </c>
      <c r="AA59" t="str">
        <f>"BC-MN-H21N"</f>
        <v>BC-MN-H21N</v>
      </c>
      <c r="AB59" t="str">
        <f>"MINNEAPOLIS"</f>
        <v>MINNEAPOLIS</v>
      </c>
      <c r="AC59" t="str">
        <f>"MN"</f>
        <v>MN</v>
      </c>
      <c r="AD59" s="7" t="str">
        <f>"55402"</f>
        <v>55402</v>
      </c>
      <c r="AE59" t="str">
        <f t="shared" si="3"/>
        <v>UNITED STATES OF AMERICA</v>
      </c>
      <c r="AF59" t="str">
        <f>""</f>
        <v/>
      </c>
      <c r="AG59" s="9" t="str">
        <f>"612-303-9931"</f>
        <v>612-303-9931</v>
      </c>
      <c r="AH59" t="str">
        <f>""</f>
        <v/>
      </c>
      <c r="AI59" t="str">
        <f>"310841368"</f>
        <v>310841368</v>
      </c>
      <c r="AJ59" t="str">
        <f>"521110"</f>
        <v>521110</v>
      </c>
      <c r="AK59" t="s">
        <v>83</v>
      </c>
      <c r="AL59" t="s">
        <v>83</v>
      </c>
      <c r="AM59" t="s">
        <v>84</v>
      </c>
      <c r="AN59" t="s">
        <v>83</v>
      </c>
      <c r="AQ59" t="str">
        <f>"Application Manager"</f>
        <v>Application Manager</v>
      </c>
      <c r="AR59" t="str">
        <f>"15-1199"</f>
        <v>15-1199</v>
      </c>
      <c r="AS59" t="str">
        <f>"Computer Occupations, All Other"</f>
        <v>Computer Occupations, All Other</v>
      </c>
      <c r="AT59" t="str">
        <f>"Development Group Manager"</f>
        <v>Development Group Manager</v>
      </c>
      <c r="AU59" t="s">
        <v>82</v>
      </c>
      <c r="AV59" t="str">
        <f>"3"</f>
        <v>3</v>
      </c>
      <c r="AW59" t="str">
        <f>"Subordinate"</f>
        <v>Subordinate</v>
      </c>
      <c r="AX59" t="s">
        <v>83</v>
      </c>
      <c r="AY59" t="str">
        <f>""</f>
        <v/>
      </c>
      <c r="AZ59" t="s">
        <v>107</v>
      </c>
      <c r="BB59" t="s">
        <v>442</v>
      </c>
      <c r="BC59" t="s">
        <v>83</v>
      </c>
      <c r="BE59" t="s">
        <v>83</v>
      </c>
      <c r="BH59" t="s">
        <v>82</v>
      </c>
      <c r="BI59">
        <v>120</v>
      </c>
      <c r="BJ59" t="s">
        <v>443</v>
      </c>
      <c r="BK59" t="s">
        <v>444</v>
      </c>
      <c r="BL59" t="str">
        <f>"1 California Street"</f>
        <v>1 California Street</v>
      </c>
      <c r="BM59" t="str">
        <f>""</f>
        <v/>
      </c>
      <c r="BN59" t="str">
        <f>"San Francisco"</f>
        <v>San Francisco</v>
      </c>
      <c r="BO59" t="s">
        <v>237</v>
      </c>
      <c r="BP59" t="s">
        <v>153</v>
      </c>
      <c r="BQ59" s="7" t="str">
        <f>"94111"</f>
        <v>94111</v>
      </c>
      <c r="BR59" t="s">
        <v>83</v>
      </c>
      <c r="BS59" t="str">
        <f>""</f>
        <v/>
      </c>
    </row>
    <row r="60" spans="1:71" ht="15" customHeight="1" x14ac:dyDescent="0.25">
      <c r="A60" t="s">
        <v>437</v>
      </c>
      <c r="B60" t="s">
        <v>80</v>
      </c>
      <c r="C60" s="1">
        <v>43461</v>
      </c>
      <c r="G60" s="1">
        <v>45617</v>
      </c>
      <c r="H60" t="s">
        <v>81</v>
      </c>
      <c r="I60" t="str">
        <f>"TRINH"</f>
        <v>TRINH</v>
      </c>
      <c r="J60" t="str">
        <f>"NADINE"</f>
        <v>NADINE</v>
      </c>
      <c r="K60" t="str">
        <f>"T."</f>
        <v>T.</v>
      </c>
      <c r="L60" t="str">
        <f>"ATTORNEY"</f>
        <v>ATTORNEY</v>
      </c>
      <c r="M60" t="str">
        <f>"44 SOUTH BROADWAY"</f>
        <v>44 SOUTH BROADWAY</v>
      </c>
      <c r="N60" t="str">
        <f>"14TH FLOOR"</f>
        <v>14TH FLOOR</v>
      </c>
      <c r="O60" t="str">
        <f>"WHITE PLAINS"</f>
        <v>WHITE PLAINS</v>
      </c>
      <c r="P60" t="str">
        <f>"NY"</f>
        <v>NY</v>
      </c>
      <c r="Q60" s="7" t="str">
        <f>"10601"</f>
        <v>10601</v>
      </c>
      <c r="R60" t="str">
        <f t="shared" si="4"/>
        <v>UNITED STATES OF AMERICA</v>
      </c>
      <c r="S60" t="str">
        <f>"N/A"</f>
        <v>N/A</v>
      </c>
      <c r="T60" s="7" t="str">
        <f>"914-872-6910"</f>
        <v>914-872-6910</v>
      </c>
      <c r="U60" t="str">
        <f>""</f>
        <v/>
      </c>
      <c r="V60" s="9" t="str">
        <f>"914-946-1216"</f>
        <v>914-946-1216</v>
      </c>
      <c r="W60" t="str">
        <f>"TRINHN@JACKSONLEWIS.COM"</f>
        <v>TRINHN@JACKSONLEWIS.COM</v>
      </c>
      <c r="X60" t="str">
        <f>"NEW YORK COMMUNITY BANK"</f>
        <v>NEW YORK COMMUNITY BANK</v>
      </c>
      <c r="Y60" t="str">
        <f>""</f>
        <v/>
      </c>
      <c r="Z60" t="str">
        <f>"615 MERRICK AVENUE"</f>
        <v>615 MERRICK AVENUE</v>
      </c>
      <c r="AA60" t="str">
        <f>"N/A"</f>
        <v>N/A</v>
      </c>
      <c r="AB60" t="str">
        <f>"WESTBURY"</f>
        <v>WESTBURY</v>
      </c>
      <c r="AC60" t="str">
        <f>"NY"</f>
        <v>NY</v>
      </c>
      <c r="AD60" s="7" t="str">
        <f>"11590"</f>
        <v>11590</v>
      </c>
      <c r="AE60" t="str">
        <f t="shared" si="3"/>
        <v>UNITED STATES OF AMERICA</v>
      </c>
      <c r="AF60" t="str">
        <f>"N/A"</f>
        <v>N/A</v>
      </c>
      <c r="AG60" s="9" t="str">
        <f>"516-500-6709"</f>
        <v>516-500-6709</v>
      </c>
      <c r="AH60" t="str">
        <f>""</f>
        <v/>
      </c>
      <c r="AI60" t="str">
        <f>"111212640"</f>
        <v>111212640</v>
      </c>
      <c r="AJ60" t="str">
        <f>"522110"</f>
        <v>522110</v>
      </c>
      <c r="AK60" t="s">
        <v>83</v>
      </c>
      <c r="AL60" t="s">
        <v>83</v>
      </c>
      <c r="AM60" t="s">
        <v>84</v>
      </c>
      <c r="AN60" t="s">
        <v>83</v>
      </c>
      <c r="AQ60" t="str">
        <f>"Model Risk Management Validation Assistant Manager"</f>
        <v>Model Risk Management Validation Assistant Manager</v>
      </c>
      <c r="AR60" t="str">
        <f>"13-2051"</f>
        <v>13-2051</v>
      </c>
      <c r="AS60" t="str">
        <f>"Financial Analysts"</f>
        <v>Financial Analysts</v>
      </c>
      <c r="AT60" t="str">
        <f>"MRM Validation Manager"</f>
        <v>MRM Validation Manager</v>
      </c>
      <c r="AU60" t="s">
        <v>83</v>
      </c>
      <c r="AV60" t="str">
        <f>""</f>
        <v/>
      </c>
      <c r="AW60" t="str">
        <f>"None"</f>
        <v>None</v>
      </c>
      <c r="AX60" t="s">
        <v>83</v>
      </c>
      <c r="AY60" t="str">
        <f>""</f>
        <v/>
      </c>
      <c r="AZ60" t="s">
        <v>93</v>
      </c>
      <c r="BB60" t="s">
        <v>438</v>
      </c>
      <c r="BC60" t="s">
        <v>83</v>
      </c>
      <c r="BE60" t="s">
        <v>83</v>
      </c>
      <c r="BH60" t="s">
        <v>82</v>
      </c>
      <c r="BI60">
        <v>12</v>
      </c>
      <c r="BJ60" t="s">
        <v>439</v>
      </c>
      <c r="BK60" s="2" t="s">
        <v>440</v>
      </c>
      <c r="BL60" t="str">
        <f>"615 Merrick Ave"</f>
        <v>615 Merrick Ave</v>
      </c>
      <c r="BM60" t="str">
        <f>""</f>
        <v/>
      </c>
      <c r="BN60" t="str">
        <f>"Westbury"</f>
        <v>Westbury</v>
      </c>
      <c r="BO60" t="s">
        <v>118</v>
      </c>
      <c r="BP60" t="s">
        <v>119</v>
      </c>
      <c r="BQ60" s="7" t="str">
        <f>"11590"</f>
        <v>11590</v>
      </c>
      <c r="BR60" t="s">
        <v>83</v>
      </c>
      <c r="BS60" t="str">
        <f>""</f>
        <v/>
      </c>
    </row>
    <row r="61" spans="1:71" ht="15" customHeight="1" x14ac:dyDescent="0.25">
      <c r="A61" t="s">
        <v>434</v>
      </c>
      <c r="B61" t="s">
        <v>80</v>
      </c>
      <c r="C61" s="1">
        <v>43455</v>
      </c>
      <c r="G61" s="1">
        <v>45617</v>
      </c>
      <c r="H61" t="s">
        <v>100</v>
      </c>
      <c r="I61" t="str">
        <f>"MADDEN"</f>
        <v>MADDEN</v>
      </c>
      <c r="J61" t="str">
        <f>"LELAND"</f>
        <v>LELAND</v>
      </c>
      <c r="K61" t="str">
        <f>"CHRISTOPHER"</f>
        <v>CHRISTOPHER</v>
      </c>
      <c r="L61" t="str">
        <f>"ASSISTANT DIRECTOR"</f>
        <v>ASSISTANT DIRECTOR</v>
      </c>
      <c r="M61" t="str">
        <f>"BECHTEL INTERNATIONAL CENTER"</f>
        <v>BECHTEL INTERNATIONAL CENTER</v>
      </c>
      <c r="N61" t="str">
        <f>"584 CAPISTRANO WAY"</f>
        <v>584 CAPISTRANO WAY</v>
      </c>
      <c r="O61" t="str">
        <f>"STANFORD"</f>
        <v>STANFORD</v>
      </c>
      <c r="P61" t="str">
        <f>"CA"</f>
        <v>CA</v>
      </c>
      <c r="Q61" s="7" t="str">
        <f>"94305"</f>
        <v>94305</v>
      </c>
      <c r="R61" t="str">
        <f t="shared" si="4"/>
        <v>UNITED STATES OF AMERICA</v>
      </c>
      <c r="S61" t="str">
        <f>""</f>
        <v/>
      </c>
      <c r="T61" s="7" t="str">
        <f>"650-725-0888"</f>
        <v>650-725-0888</v>
      </c>
      <c r="U61" t="str">
        <f>""</f>
        <v/>
      </c>
      <c r="V61" s="9" t="str">
        <f>"650-725-0886"</f>
        <v>650-725-0886</v>
      </c>
      <c r="W61" t="str">
        <f>"INTERNATIONALSCHOLARS@STANFORD.EDU"</f>
        <v>INTERNATIONALSCHOLARS@STANFORD.EDU</v>
      </c>
      <c r="X61" t="str">
        <f>"THE BOARD OF TRUSTEES OF THE LELAND STANFORD, JR. UNIVERSITY"</f>
        <v>THE BOARD OF TRUSTEES OF THE LELAND STANFORD, JR. UNIVERSITY</v>
      </c>
      <c r="Y61" t="str">
        <f>"STANFORD UNIVERSITY"</f>
        <v>STANFORD UNIVERSITY</v>
      </c>
      <c r="Z61" t="str">
        <f>"C/O BECHTEL INTERNATIONAL CENTER"</f>
        <v>C/O BECHTEL INTERNATIONAL CENTER</v>
      </c>
      <c r="AA61" t="str">
        <f>"584 CAPISTRANO WAY"</f>
        <v>584 CAPISTRANO WAY</v>
      </c>
      <c r="AB61" t="str">
        <f>"STANFORD"</f>
        <v>STANFORD</v>
      </c>
      <c r="AC61" t="str">
        <f>"CA"</f>
        <v>CA</v>
      </c>
      <c r="AD61" s="7" t="str">
        <f>"94305"</f>
        <v>94305</v>
      </c>
      <c r="AE61" t="str">
        <f t="shared" si="3"/>
        <v>UNITED STATES OF AMERICA</v>
      </c>
      <c r="AF61" t="str">
        <f>""</f>
        <v/>
      </c>
      <c r="AG61" s="9" t="str">
        <f>"650-725-0888"</f>
        <v>650-725-0888</v>
      </c>
      <c r="AH61" t="str">
        <f>""</f>
        <v/>
      </c>
      <c r="AI61" t="str">
        <f>"941156365"</f>
        <v>941156365</v>
      </c>
      <c r="AJ61" t="str">
        <f>"611310"</f>
        <v>611310</v>
      </c>
      <c r="AK61" t="s">
        <v>82</v>
      </c>
      <c r="AL61" t="s">
        <v>83</v>
      </c>
      <c r="AM61" t="s">
        <v>84</v>
      </c>
      <c r="AN61" t="s">
        <v>83</v>
      </c>
      <c r="AQ61" t="str">
        <f>"Clinical Instructor"</f>
        <v>Clinical Instructor</v>
      </c>
      <c r="AR61" t="str">
        <f>"25-1071"</f>
        <v>25-1071</v>
      </c>
      <c r="AS61" t="str">
        <f>"Health Specialties Teachers, Postsecondary"</f>
        <v>Health Specialties Teachers, Postsecondary</v>
      </c>
      <c r="AT61" t="str">
        <f>"Chair of the Department"</f>
        <v>Chair of the Department</v>
      </c>
      <c r="AU61" t="s">
        <v>83</v>
      </c>
      <c r="AV61" t="str">
        <f>""</f>
        <v/>
      </c>
      <c r="AW61" t="str">
        <f>"None"</f>
        <v>None</v>
      </c>
      <c r="AX61" t="s">
        <v>83</v>
      </c>
      <c r="AY61" t="str">
        <f>""</f>
        <v/>
      </c>
      <c r="AZ61" t="s">
        <v>86</v>
      </c>
      <c r="BA61" t="s">
        <v>87</v>
      </c>
      <c r="BB61" t="s">
        <v>88</v>
      </c>
      <c r="BC61" t="s">
        <v>83</v>
      </c>
      <c r="BE61" t="s">
        <v>82</v>
      </c>
      <c r="BF61">
        <v>24</v>
      </c>
      <c r="BG61" t="s">
        <v>435</v>
      </c>
      <c r="BH61" t="s">
        <v>83</v>
      </c>
      <c r="BK61" t="s">
        <v>436</v>
      </c>
      <c r="BL61" t="str">
        <f>"300 Pasteur Drive"</f>
        <v>300 Pasteur Drive</v>
      </c>
      <c r="BM61" t="str">
        <f>""</f>
        <v/>
      </c>
      <c r="BN61" t="str">
        <f>"Stanford"</f>
        <v>Stanford</v>
      </c>
      <c r="BO61" t="s">
        <v>181</v>
      </c>
      <c r="BP61" t="s">
        <v>153</v>
      </c>
      <c r="BQ61" s="7" t="str">
        <f>"94305"</f>
        <v>94305</v>
      </c>
      <c r="BR61" t="s">
        <v>83</v>
      </c>
      <c r="BS61" t="str">
        <f>""</f>
        <v/>
      </c>
    </row>
    <row r="62" spans="1:71" ht="15" customHeight="1" x14ac:dyDescent="0.25">
      <c r="A62" t="s">
        <v>429</v>
      </c>
      <c r="B62" t="s">
        <v>80</v>
      </c>
      <c r="C62" s="1">
        <v>43454</v>
      </c>
      <c r="G62" s="1">
        <v>45617</v>
      </c>
      <c r="H62" t="s">
        <v>100</v>
      </c>
      <c r="I62" t="str">
        <f>"CLARKE"</f>
        <v>CLARKE</v>
      </c>
      <c r="J62" t="str">
        <f>"MILLICENT"</f>
        <v>MILLICENT</v>
      </c>
      <c r="K62" t="str">
        <f>"YVONNE"</f>
        <v>YVONNE</v>
      </c>
      <c r="L62" t="str">
        <f>"Attorney-at-law"</f>
        <v>Attorney-at-law</v>
      </c>
      <c r="M62" t="str">
        <f>"11 WEST SUNRISE HIGHWAY"</f>
        <v>11 WEST SUNRISE HIGHWAY</v>
      </c>
      <c r="N62" t="str">
        <f>"SUITE 1"</f>
        <v>SUITE 1</v>
      </c>
      <c r="O62" t="str">
        <f>"FREEPORT"</f>
        <v>FREEPORT</v>
      </c>
      <c r="P62" t="str">
        <f>"NY"</f>
        <v>NY</v>
      </c>
      <c r="Q62" s="7" t="str">
        <f>"11520"</f>
        <v>11520</v>
      </c>
      <c r="R62" t="str">
        <f t="shared" si="4"/>
        <v>UNITED STATES OF AMERICA</v>
      </c>
      <c r="S62" t="str">
        <f>""</f>
        <v/>
      </c>
      <c r="T62" s="7" t="str">
        <f>"516-536-2680"</f>
        <v>516-536-2680</v>
      </c>
      <c r="U62" t="str">
        <f>""</f>
        <v/>
      </c>
      <c r="V62" s="9" t="str">
        <f>"516-536-2618"</f>
        <v>516-536-2618</v>
      </c>
      <c r="W62" t="str">
        <f>"MCLARKE4@OPTONLINE.NET"</f>
        <v>MCLARKE4@OPTONLINE.NET</v>
      </c>
      <c r="X62" t="str">
        <f>"The Carter G. Woodson School"</f>
        <v>The Carter G. Woodson School</v>
      </c>
      <c r="Y62" t="str">
        <f>"N/A"</f>
        <v>N/A</v>
      </c>
      <c r="Z62" t="str">
        <f>"437 Goldfloss Street"</f>
        <v>437 Goldfloss Street</v>
      </c>
      <c r="AA62" t="str">
        <f>"N/A"</f>
        <v>N/A</v>
      </c>
      <c r="AB62" t="str">
        <f>"Winston-Salem"</f>
        <v>Winston-Salem</v>
      </c>
      <c r="AC62" t="str">
        <f>"NC"</f>
        <v>NC</v>
      </c>
      <c r="AD62" s="7" t="str">
        <f>"27127"</f>
        <v>27127</v>
      </c>
      <c r="AE62" t="str">
        <f t="shared" si="3"/>
        <v>UNITED STATES OF AMERICA</v>
      </c>
      <c r="AF62" t="str">
        <f>"N/A"</f>
        <v>N/A</v>
      </c>
      <c r="AG62" s="9" t="str">
        <f>"336-623-7838"</f>
        <v>336-623-7838</v>
      </c>
      <c r="AH62" t="str">
        <f>""</f>
        <v/>
      </c>
      <c r="AI62" t="str">
        <f>"452867649"</f>
        <v>452867649</v>
      </c>
      <c r="AJ62" t="str">
        <f>"611110"</f>
        <v>611110</v>
      </c>
      <c r="AK62" t="s">
        <v>82</v>
      </c>
      <c r="AL62" t="s">
        <v>83</v>
      </c>
      <c r="AM62" t="s">
        <v>84</v>
      </c>
      <c r="AN62" t="s">
        <v>83</v>
      </c>
      <c r="AQ62" t="str">
        <f>"ESOL TEACHER"</f>
        <v>ESOL TEACHER</v>
      </c>
      <c r="AR62" t="str">
        <f>"25-2031"</f>
        <v>25-2031</v>
      </c>
      <c r="AS62" t="str">
        <f>"Secondary School Teachers, Except Special and Career/Technical Education"</f>
        <v>Secondary School Teachers, Except Special and Career/Technical Education</v>
      </c>
      <c r="AT62" t="str">
        <f>"N/A"</f>
        <v>N/A</v>
      </c>
      <c r="AU62" t="s">
        <v>83</v>
      </c>
      <c r="AV62" t="str">
        <f>""</f>
        <v/>
      </c>
      <c r="AW62" t="str">
        <f>"None"</f>
        <v>None</v>
      </c>
      <c r="AX62" t="s">
        <v>83</v>
      </c>
      <c r="AY62" t="str">
        <f>""</f>
        <v/>
      </c>
      <c r="AZ62" t="s">
        <v>107</v>
      </c>
      <c r="BA62" t="s">
        <v>84</v>
      </c>
      <c r="BB62" t="s">
        <v>430</v>
      </c>
      <c r="BC62" t="s">
        <v>83</v>
      </c>
      <c r="BE62" t="s">
        <v>83</v>
      </c>
      <c r="BH62" t="s">
        <v>82</v>
      </c>
      <c r="BI62">
        <v>24</v>
      </c>
      <c r="BJ62" t="s">
        <v>431</v>
      </c>
      <c r="BK62" t="s">
        <v>432</v>
      </c>
      <c r="BL62" t="str">
        <f>"427 Goldfloss street"</f>
        <v>427 Goldfloss street</v>
      </c>
      <c r="BM62" t="str">
        <f>"N/A"</f>
        <v>N/A</v>
      </c>
      <c r="BN62" t="str">
        <f>"WINSTON-SALEM"</f>
        <v>WINSTON-SALEM</v>
      </c>
      <c r="BO62" t="s">
        <v>433</v>
      </c>
      <c r="BP62" t="s">
        <v>283</v>
      </c>
      <c r="BQ62" s="7" t="str">
        <f>"27127"</f>
        <v>27127</v>
      </c>
      <c r="BR62" t="s">
        <v>83</v>
      </c>
      <c r="BS62" t="str">
        <f>""</f>
        <v/>
      </c>
    </row>
    <row r="63" spans="1:71" ht="15" customHeight="1" x14ac:dyDescent="0.25">
      <c r="A63" t="s">
        <v>422</v>
      </c>
      <c r="B63" t="s">
        <v>80</v>
      </c>
      <c r="C63" s="1">
        <v>43453</v>
      </c>
      <c r="G63" s="1">
        <v>45617</v>
      </c>
      <c r="H63" t="s">
        <v>81</v>
      </c>
      <c r="I63" t="str">
        <f>"O'NEILL"</f>
        <v>O'NEILL</v>
      </c>
      <c r="J63" t="str">
        <f>"DEVIN"</f>
        <v>DEVIN</v>
      </c>
      <c r="K63" t="str">
        <f>"B"</f>
        <v>B</v>
      </c>
      <c r="L63" t="str">
        <f>"Attorney"</f>
        <v>Attorney</v>
      </c>
      <c r="M63" t="str">
        <f>"100 ADELAIDE STREET WEST"</f>
        <v>100 ADELAIDE STREET WEST</v>
      </c>
      <c r="N63" t="str">
        <f>"FLOOR 31"</f>
        <v>FLOOR 31</v>
      </c>
      <c r="O63" t="str">
        <f>"TORONTO"</f>
        <v>TORONTO</v>
      </c>
      <c r="P63" t="str">
        <f>""</f>
        <v/>
      </c>
      <c r="Q63" s="7" t="str">
        <f>"M5H0B3"</f>
        <v>M5H0B3</v>
      </c>
      <c r="R63" t="str">
        <f>"CANADA"</f>
        <v>CANADA</v>
      </c>
      <c r="S63" t="str">
        <f>"ONTARIO"</f>
        <v>ONTARIO</v>
      </c>
      <c r="T63" s="7" t="str">
        <f>"416-943-7117"</f>
        <v>416-943-7117</v>
      </c>
      <c r="U63" t="str">
        <f>""</f>
        <v/>
      </c>
      <c r="V63" s="9" t="str">
        <f>"416-943-2735"</f>
        <v>416-943-2735</v>
      </c>
      <c r="W63" t="str">
        <f>"DEVIN.ONEILL@CA.EY.COM"</f>
        <v>DEVIN.ONEILL@CA.EY.COM</v>
      </c>
      <c r="X63" t="str">
        <f>"VF SERVICES, LLC"</f>
        <v>VF SERVICES, LLC</v>
      </c>
      <c r="Y63" t="str">
        <f>"N/A"</f>
        <v>N/A</v>
      </c>
      <c r="Z63" t="str">
        <f>"105 CORPORATE CENTER BLVD"</f>
        <v>105 CORPORATE CENTER BLVD</v>
      </c>
      <c r="AA63" t="str">
        <f>"N/A"</f>
        <v>N/A</v>
      </c>
      <c r="AB63" t="str">
        <f>"GREENSBORO"</f>
        <v>GREENSBORO</v>
      </c>
      <c r="AC63" t="str">
        <f>"NC"</f>
        <v>NC</v>
      </c>
      <c r="AD63" s="7" t="str">
        <f>"27408"</f>
        <v>27408</v>
      </c>
      <c r="AE63" t="str">
        <f t="shared" si="3"/>
        <v>UNITED STATES OF AMERICA</v>
      </c>
      <c r="AF63" t="str">
        <f>"N/A"</f>
        <v>N/A</v>
      </c>
      <c r="AG63" s="9" t="str">
        <f>"336-424-6203"</f>
        <v>336-424-6203</v>
      </c>
      <c r="AH63" t="str">
        <f>""</f>
        <v/>
      </c>
      <c r="AI63" t="str">
        <f>"232608762"</f>
        <v>232608762</v>
      </c>
      <c r="AJ63" t="str">
        <f>"315280"</f>
        <v>315280</v>
      </c>
      <c r="AK63" t="s">
        <v>83</v>
      </c>
      <c r="AL63" t="s">
        <v>83</v>
      </c>
      <c r="AM63" t="s">
        <v>84</v>
      </c>
      <c r="AN63" t="s">
        <v>83</v>
      </c>
      <c r="AQ63" t="str">
        <f>"Software Engineer, Development Operations"</f>
        <v>Software Engineer, Development Operations</v>
      </c>
      <c r="AR63" t="str">
        <f>"15-1133"</f>
        <v>15-1133</v>
      </c>
      <c r="AS63" t="str">
        <f>"Software Developers, Systems Software"</f>
        <v>Software Developers, Systems Software</v>
      </c>
      <c r="AT63" t="str">
        <f>"Principal Platform Software Engineer"</f>
        <v>Principal Platform Software Engineer</v>
      </c>
      <c r="AU63" t="s">
        <v>83</v>
      </c>
      <c r="AV63" t="str">
        <f>""</f>
        <v/>
      </c>
      <c r="AW63" t="str">
        <f>"None"</f>
        <v>None</v>
      </c>
      <c r="AX63" t="s">
        <v>83</v>
      </c>
      <c r="AY63" t="str">
        <f>""</f>
        <v/>
      </c>
      <c r="AZ63" t="s">
        <v>107</v>
      </c>
      <c r="BA63" t="s">
        <v>84</v>
      </c>
      <c r="BB63" t="s">
        <v>423</v>
      </c>
      <c r="BC63" t="s">
        <v>83</v>
      </c>
      <c r="BE63" t="s">
        <v>83</v>
      </c>
      <c r="BH63" t="s">
        <v>82</v>
      </c>
      <c r="BI63">
        <v>60</v>
      </c>
      <c r="BJ63" t="s">
        <v>424</v>
      </c>
      <c r="BK63" s="2" t="s">
        <v>425</v>
      </c>
      <c r="BL63" t="str">
        <f>"545 Marriott Drive"</f>
        <v>545 Marriott Drive</v>
      </c>
      <c r="BM63" t="str">
        <f>"N/A"</f>
        <v>N/A</v>
      </c>
      <c r="BN63" t="str">
        <f>"Nashville"</f>
        <v>Nashville</v>
      </c>
      <c r="BO63" t="s">
        <v>426</v>
      </c>
      <c r="BP63" t="s">
        <v>415</v>
      </c>
      <c r="BQ63" s="7" t="str">
        <f>"37214"</f>
        <v>37214</v>
      </c>
      <c r="BR63" t="s">
        <v>83</v>
      </c>
      <c r="BS63" t="str">
        <f>""</f>
        <v/>
      </c>
    </row>
    <row r="64" spans="1:71" ht="15" customHeight="1" x14ac:dyDescent="0.25">
      <c r="A64" t="s">
        <v>427</v>
      </c>
      <c r="B64" t="s">
        <v>80</v>
      </c>
      <c r="C64" s="1">
        <v>43453</v>
      </c>
      <c r="G64" s="1">
        <v>45617</v>
      </c>
      <c r="H64" t="s">
        <v>81</v>
      </c>
      <c r="I64" t="str">
        <f>"CUOMO"</f>
        <v>CUOMO</v>
      </c>
      <c r="J64" t="str">
        <f>"MARTINE"</f>
        <v>MARTINE</v>
      </c>
      <c r="K64" t="str">
        <f>"N/A"</f>
        <v>N/A</v>
      </c>
      <c r="L64" t="str">
        <f>"PARTNER"</f>
        <v>PARTNER</v>
      </c>
      <c r="M64" t="str">
        <f>"7 HANOVER SQUARE"</f>
        <v>7 HANOVER SQUARE</v>
      </c>
      <c r="N64" t="str">
        <f>""</f>
        <v/>
      </c>
      <c r="O64" t="str">
        <f>"NEW YORK"</f>
        <v>NEW YORK</v>
      </c>
      <c r="P64" t="str">
        <f>"NY"</f>
        <v>NY</v>
      </c>
      <c r="Q64" s="7" t="str">
        <f>"10004"</f>
        <v>10004</v>
      </c>
      <c r="R64" t="str">
        <f t="shared" ref="R64:R70" si="5">"UNITED STATES OF AMERICA"</f>
        <v>UNITED STATES OF AMERICA</v>
      </c>
      <c r="S64" t="str">
        <f>""</f>
        <v/>
      </c>
      <c r="T64" s="7" t="str">
        <f>"212-688-8555"</f>
        <v>212-688-8555</v>
      </c>
      <c r="U64" t="str">
        <f>""</f>
        <v/>
      </c>
      <c r="V64" s="9" t="str">
        <f>""</f>
        <v/>
      </c>
      <c r="W64" t="str">
        <f>"LGALLAGHER@FRAGOMEN.COM"</f>
        <v>LGALLAGHER@FRAGOMEN.COM</v>
      </c>
      <c r="X64" t="str">
        <f>"Boehringer Ingelheim Fremont, Inc."</f>
        <v>Boehringer Ingelheim Fremont, Inc.</v>
      </c>
      <c r="Y64" t="str">
        <f>""</f>
        <v/>
      </c>
      <c r="Z64" t="str">
        <f>"900 Ridgebury Road"</f>
        <v>900 Ridgebury Road</v>
      </c>
      <c r="AA64" t="str">
        <f>""</f>
        <v/>
      </c>
      <c r="AB64" t="str">
        <f>"Ridgefield"</f>
        <v>Ridgefield</v>
      </c>
      <c r="AC64" t="str">
        <f>"CT"</f>
        <v>CT</v>
      </c>
      <c r="AD64" s="7" t="str">
        <f>"06877"</f>
        <v>06877</v>
      </c>
      <c r="AE64" t="str">
        <f t="shared" si="3"/>
        <v>UNITED STATES OF AMERICA</v>
      </c>
      <c r="AF64" t="str">
        <f>""</f>
        <v/>
      </c>
      <c r="AG64" s="9" t="str">
        <f>"203-798-5243"</f>
        <v>203-798-5243</v>
      </c>
      <c r="AH64" t="str">
        <f>""</f>
        <v/>
      </c>
      <c r="AI64" t="str">
        <f>"274467600"</f>
        <v>274467600</v>
      </c>
      <c r="AJ64" t="str">
        <f>"325412"</f>
        <v>325412</v>
      </c>
      <c r="AK64" t="s">
        <v>83</v>
      </c>
      <c r="AL64" t="s">
        <v>83</v>
      </c>
      <c r="AM64" t="s">
        <v>84</v>
      </c>
      <c r="AN64" t="s">
        <v>83</v>
      </c>
      <c r="AQ64" t="str">
        <f>"Associate Director, Quality Validation"</f>
        <v>Associate Director, Quality Validation</v>
      </c>
      <c r="AR64" t="str">
        <f>"17-2199"</f>
        <v>17-2199</v>
      </c>
      <c r="AS64" t="str">
        <f>"Engineers, All Other"</f>
        <v>Engineers, All Other</v>
      </c>
      <c r="AT64" t="str">
        <f>"Director, Quality Validation and Compliance"</f>
        <v>Director, Quality Validation and Compliance</v>
      </c>
      <c r="AU64" t="s">
        <v>82</v>
      </c>
      <c r="AV64" t="str">
        <f>"11"</f>
        <v>11</v>
      </c>
      <c r="AW64" t="str">
        <f>"Subordinate"</f>
        <v>Subordinate</v>
      </c>
      <c r="AX64" t="s">
        <v>83</v>
      </c>
      <c r="AY64" t="str">
        <f>""</f>
        <v/>
      </c>
      <c r="AZ64" t="s">
        <v>93</v>
      </c>
      <c r="BB64" t="s">
        <v>374</v>
      </c>
      <c r="BC64" t="s">
        <v>83</v>
      </c>
      <c r="BE64" t="s">
        <v>83</v>
      </c>
      <c r="BH64" t="s">
        <v>82</v>
      </c>
      <c r="BI64">
        <v>96</v>
      </c>
      <c r="BJ64" t="s">
        <v>374</v>
      </c>
      <c r="BK64" s="2" t="s">
        <v>428</v>
      </c>
      <c r="BL64" t="str">
        <f>"6701 Kaiser Drive"</f>
        <v>6701 Kaiser Drive</v>
      </c>
      <c r="BM64" t="str">
        <f>""</f>
        <v/>
      </c>
      <c r="BN64" t="str">
        <f>"Fremont"</f>
        <v>Fremont</v>
      </c>
      <c r="BO64" t="s">
        <v>355</v>
      </c>
      <c r="BP64" t="s">
        <v>153</v>
      </c>
      <c r="BQ64" s="7" t="str">
        <f>"94555"</f>
        <v>94555</v>
      </c>
      <c r="BR64" t="s">
        <v>83</v>
      </c>
      <c r="BS64" t="str">
        <f>""</f>
        <v/>
      </c>
    </row>
    <row r="65" spans="1:71" ht="15" customHeight="1" x14ac:dyDescent="0.25">
      <c r="A65" t="s">
        <v>418</v>
      </c>
      <c r="B65" t="s">
        <v>80</v>
      </c>
      <c r="C65" s="1">
        <v>43448</v>
      </c>
      <c r="G65" s="1">
        <v>45617</v>
      </c>
      <c r="H65" t="s">
        <v>81</v>
      </c>
      <c r="I65" t="str">
        <f>"PERLITSH"</f>
        <v>PERLITSH</v>
      </c>
      <c r="J65" t="str">
        <f>"STEPHEN"</f>
        <v>STEPHEN</v>
      </c>
      <c r="K65" t="str">
        <f>"MURRAY"</f>
        <v>MURRAY</v>
      </c>
      <c r="L65" t="str">
        <f>"ATTORNEY"</f>
        <v>ATTORNEY</v>
      </c>
      <c r="M65" t="str">
        <f>"110 WEST 34TH STREET"</f>
        <v>110 WEST 34TH STREET</v>
      </c>
      <c r="N65" t="str">
        <f>"SUITE 300"</f>
        <v>SUITE 300</v>
      </c>
      <c r="O65" t="str">
        <f>"NEW YORK"</f>
        <v>NEW YORK</v>
      </c>
      <c r="P65" t="str">
        <f>"NY"</f>
        <v>NY</v>
      </c>
      <c r="Q65" s="7" t="str">
        <f>"10001"</f>
        <v>10001</v>
      </c>
      <c r="R65" t="str">
        <f t="shared" si="5"/>
        <v>UNITED STATES OF AMERICA</v>
      </c>
      <c r="S65" t="str">
        <f>""</f>
        <v/>
      </c>
      <c r="T65" s="7" t="str">
        <f>"212-840-3878"</f>
        <v>212-840-3878</v>
      </c>
      <c r="U65" t="str">
        <f>""</f>
        <v/>
      </c>
      <c r="V65" s="9" t="str">
        <f>"917-510-0872"</f>
        <v>917-510-0872</v>
      </c>
      <c r="W65" t="str">
        <f>"rochellen@perlitsh.com"</f>
        <v>rochellen@perlitsh.com</v>
      </c>
      <c r="X65" t="str">
        <f>"White Glove Placement, Inc."</f>
        <v>White Glove Placement, Inc.</v>
      </c>
      <c r="Y65" t="str">
        <f>"white glove placement inc"</f>
        <v>white glove placement inc</v>
      </c>
      <c r="Z65" t="str">
        <f>"89 Bartlett Street"</f>
        <v>89 Bartlett Street</v>
      </c>
      <c r="AA65" t="str">
        <f>""</f>
        <v/>
      </c>
      <c r="AB65" t="str">
        <f>"Brooklyn"</f>
        <v>Brooklyn</v>
      </c>
      <c r="AC65" t="str">
        <f>"NY"</f>
        <v>NY</v>
      </c>
      <c r="AD65" s="7" t="str">
        <f>"11206"</f>
        <v>11206</v>
      </c>
      <c r="AE65" t="str">
        <f t="shared" si="3"/>
        <v>UNITED STATES OF AMERICA</v>
      </c>
      <c r="AF65" t="str">
        <f>"N/A"</f>
        <v>N/A</v>
      </c>
      <c r="AG65" s="9" t="str">
        <f>"718-387-8181"</f>
        <v>718-387-8181</v>
      </c>
      <c r="AH65" t="str">
        <f>"160"</f>
        <v>160</v>
      </c>
      <c r="AI65" t="str">
        <f>"113029587"</f>
        <v>113029587</v>
      </c>
      <c r="AJ65" t="str">
        <f>"561311"</f>
        <v>561311</v>
      </c>
      <c r="AK65" t="s">
        <v>83</v>
      </c>
      <c r="AL65" t="s">
        <v>83</v>
      </c>
      <c r="AM65" t="s">
        <v>84</v>
      </c>
      <c r="AN65" t="s">
        <v>83</v>
      </c>
      <c r="AQ65" t="str">
        <f>"Registered Nurse"</f>
        <v>Registered Nurse</v>
      </c>
      <c r="AR65" t="str">
        <f>"29-1141"</f>
        <v>29-1141</v>
      </c>
      <c r="AS65" t="str">
        <f>"Registered Nurses"</f>
        <v>Registered Nurses</v>
      </c>
      <c r="AT65" t="str">
        <f>"Physician in Charge"</f>
        <v>Physician in Charge</v>
      </c>
      <c r="AU65" t="s">
        <v>82</v>
      </c>
      <c r="AV65" t="str">
        <f>"150"</f>
        <v>150</v>
      </c>
      <c r="AW65" t="str">
        <f>"Subordinate"</f>
        <v>Subordinate</v>
      </c>
      <c r="AX65" t="s">
        <v>83</v>
      </c>
      <c r="AY65" t="str">
        <f>""</f>
        <v/>
      </c>
      <c r="AZ65" t="s">
        <v>107</v>
      </c>
      <c r="BB65" t="s">
        <v>211</v>
      </c>
      <c r="BC65" t="s">
        <v>83</v>
      </c>
      <c r="BE65" t="s">
        <v>82</v>
      </c>
      <c r="BF65">
        <v>24</v>
      </c>
      <c r="BG65" t="s">
        <v>419</v>
      </c>
      <c r="BH65" t="s">
        <v>83</v>
      </c>
      <c r="BK65" t="s">
        <v>420</v>
      </c>
      <c r="BL65" t="str">
        <f>"89 Bartlett Street"</f>
        <v>89 Bartlett Street</v>
      </c>
      <c r="BM65" t="str">
        <f>""</f>
        <v/>
      </c>
      <c r="BN65" t="str">
        <f>"Brooklyn"</f>
        <v>Brooklyn</v>
      </c>
      <c r="BO65" t="s">
        <v>421</v>
      </c>
      <c r="BP65" t="s">
        <v>119</v>
      </c>
      <c r="BQ65" s="7" t="str">
        <f>"11206"</f>
        <v>11206</v>
      </c>
      <c r="BR65" t="s">
        <v>83</v>
      </c>
      <c r="BS65" t="str">
        <f>""</f>
        <v/>
      </c>
    </row>
    <row r="66" spans="1:71" ht="15" customHeight="1" x14ac:dyDescent="0.25">
      <c r="A66" t="s">
        <v>413</v>
      </c>
      <c r="B66" t="s">
        <v>80</v>
      </c>
      <c r="C66" s="1">
        <v>43447</v>
      </c>
      <c r="G66" s="1">
        <v>45617</v>
      </c>
      <c r="H66" t="s">
        <v>100</v>
      </c>
      <c r="I66" t="str">
        <f>"CHILDS"</f>
        <v>CHILDS</v>
      </c>
      <c r="J66" t="str">
        <f>"CONNIE"</f>
        <v>CONNIE</v>
      </c>
      <c r="K66" t="str">
        <f>"L"</f>
        <v>L</v>
      </c>
      <c r="L66" t="str">
        <f>"DIRECTOR, INTERNATIONAL AFFAIRS"</f>
        <v>DIRECTOR, INTERNATIONAL AFFAIRS</v>
      </c>
      <c r="M66" t="str">
        <f>"910 MADISON AVENUE, SUITE 105"</f>
        <v>910 MADISON AVENUE, SUITE 105</v>
      </c>
      <c r="N66" t="str">
        <f>"UNIV OF TENN HEALTH SCIENCE CENTER"</f>
        <v>UNIV OF TENN HEALTH SCIENCE CENTER</v>
      </c>
      <c r="O66" t="str">
        <f>"MEMPHIS"</f>
        <v>MEMPHIS</v>
      </c>
      <c r="P66" t="str">
        <f>"TN"</f>
        <v>TN</v>
      </c>
      <c r="Q66" s="7" t="str">
        <f>"38163"</f>
        <v>38163</v>
      </c>
      <c r="R66" t="str">
        <f t="shared" si="5"/>
        <v>UNITED STATES OF AMERICA</v>
      </c>
      <c r="S66" t="str">
        <f>""</f>
        <v/>
      </c>
      <c r="T66" s="7" t="str">
        <f>"901-448-8484"</f>
        <v>901-448-8484</v>
      </c>
      <c r="U66" t="str">
        <f>""</f>
        <v/>
      </c>
      <c r="V66" s="9" t="str">
        <f>"901-448-1370"</f>
        <v>901-448-1370</v>
      </c>
      <c r="W66" t="str">
        <f>"OIA@UTHSC.EDU"</f>
        <v>OIA@UTHSC.EDU</v>
      </c>
      <c r="X66" t="str">
        <f>"THE UNIVERSITY OF TENNESSEE HEALTH SCIENCE CENTER"</f>
        <v>THE UNIVERSITY OF TENNESSEE HEALTH SCIENCE CENTER</v>
      </c>
      <c r="Y66" t="str">
        <f>""</f>
        <v/>
      </c>
      <c r="Z66" t="str">
        <f>"910 MADISON AVENUE, SUITE 105"</f>
        <v>910 MADISON AVENUE, SUITE 105</v>
      </c>
      <c r="AA66" t="str">
        <f>""</f>
        <v/>
      </c>
      <c r="AB66" t="str">
        <f>"MEMPHIS"</f>
        <v>MEMPHIS</v>
      </c>
      <c r="AC66" t="str">
        <f>"TN"</f>
        <v>TN</v>
      </c>
      <c r="AD66" s="7" t="str">
        <f>"38163"</f>
        <v>38163</v>
      </c>
      <c r="AE66" t="str">
        <f t="shared" ref="AE66:AE86" si="6">"UNITED STATES OF AMERICA"</f>
        <v>UNITED STATES OF AMERICA</v>
      </c>
      <c r="AF66" t="str">
        <f>""</f>
        <v/>
      </c>
      <c r="AG66" s="9" t="str">
        <f>"901-448-8484"</f>
        <v>901-448-8484</v>
      </c>
      <c r="AH66" t="str">
        <f>""</f>
        <v/>
      </c>
      <c r="AI66" t="str">
        <f>"626001636"</f>
        <v>626001636</v>
      </c>
      <c r="AJ66" t="str">
        <f>"611310"</f>
        <v>611310</v>
      </c>
      <c r="AK66" t="s">
        <v>82</v>
      </c>
      <c r="AL66" t="s">
        <v>83</v>
      </c>
      <c r="AM66" t="s">
        <v>84</v>
      </c>
      <c r="AN66" t="s">
        <v>83</v>
      </c>
      <c r="AQ66" t="str">
        <f>"Medical Resident"</f>
        <v>Medical Resident</v>
      </c>
      <c r="AR66" t="str">
        <f>"29-1063"</f>
        <v>29-1063</v>
      </c>
      <c r="AS66" t="str">
        <f>"Internists, General"</f>
        <v>Internists, General</v>
      </c>
      <c r="AT66" t="str">
        <f>"Physician"</f>
        <v>Physician</v>
      </c>
      <c r="AU66" t="s">
        <v>83</v>
      </c>
      <c r="AV66" t="str">
        <f>""</f>
        <v/>
      </c>
      <c r="AW66" t="str">
        <f>"None"</f>
        <v>None</v>
      </c>
      <c r="AX66" t="s">
        <v>83</v>
      </c>
      <c r="AY66" t="str">
        <f>""</f>
        <v/>
      </c>
      <c r="AZ66" t="s">
        <v>86</v>
      </c>
      <c r="BA66" t="s">
        <v>87</v>
      </c>
      <c r="BB66" t="s">
        <v>88</v>
      </c>
      <c r="BC66" t="s">
        <v>83</v>
      </c>
      <c r="BE66" t="s">
        <v>83</v>
      </c>
      <c r="BH66" t="s">
        <v>83</v>
      </c>
      <c r="BK66" t="s">
        <v>84</v>
      </c>
      <c r="BL66" t="str">
        <f>"The University of Tennessee Health Science Center"</f>
        <v>The University of Tennessee Health Science Center</v>
      </c>
      <c r="BM66" t="str">
        <f>"960 East Third Street"</f>
        <v>960 East Third Street</v>
      </c>
      <c r="BN66" t="str">
        <f>"Chattanooga"</f>
        <v>Chattanooga</v>
      </c>
      <c r="BO66" t="s">
        <v>414</v>
      </c>
      <c r="BP66" t="s">
        <v>415</v>
      </c>
      <c r="BQ66" s="7" t="str">
        <f>"37403"</f>
        <v>37403</v>
      </c>
      <c r="BR66" t="s">
        <v>83</v>
      </c>
      <c r="BS66" t="str">
        <f>""</f>
        <v/>
      </c>
    </row>
    <row r="67" spans="1:71" ht="15" customHeight="1" x14ac:dyDescent="0.25">
      <c r="A67" t="s">
        <v>416</v>
      </c>
      <c r="B67" t="s">
        <v>80</v>
      </c>
      <c r="C67" s="1">
        <v>43447</v>
      </c>
      <c r="G67" s="1">
        <v>45617</v>
      </c>
      <c r="H67" t="s">
        <v>100</v>
      </c>
      <c r="I67" t="str">
        <f>"CHILDS"</f>
        <v>CHILDS</v>
      </c>
      <c r="J67" t="str">
        <f>"CONNIE"</f>
        <v>CONNIE</v>
      </c>
      <c r="K67" t="str">
        <f>"L"</f>
        <v>L</v>
      </c>
      <c r="L67" t="str">
        <f>"DIRECTOR, INTERNATIONAL AFFAIRS"</f>
        <v>DIRECTOR, INTERNATIONAL AFFAIRS</v>
      </c>
      <c r="M67" t="str">
        <f>"910 MADISON AVENUE, SUITE 105"</f>
        <v>910 MADISON AVENUE, SUITE 105</v>
      </c>
      <c r="N67" t="str">
        <f>"UNIV OF TENN HEALTH SCIENCE CENTER"</f>
        <v>UNIV OF TENN HEALTH SCIENCE CENTER</v>
      </c>
      <c r="O67" t="str">
        <f>"MEMPHIS"</f>
        <v>MEMPHIS</v>
      </c>
      <c r="P67" t="str">
        <f>"TN"</f>
        <v>TN</v>
      </c>
      <c r="Q67" s="7" t="str">
        <f>"38163"</f>
        <v>38163</v>
      </c>
      <c r="R67" t="str">
        <f t="shared" si="5"/>
        <v>UNITED STATES OF AMERICA</v>
      </c>
      <c r="S67" t="str">
        <f>""</f>
        <v/>
      </c>
      <c r="T67" s="7" t="str">
        <f>"901-448-8484"</f>
        <v>901-448-8484</v>
      </c>
      <c r="U67" t="str">
        <f>""</f>
        <v/>
      </c>
      <c r="V67" s="9" t="str">
        <f>"901-448-1370"</f>
        <v>901-448-1370</v>
      </c>
      <c r="W67" t="str">
        <f>"OIA@UTHSC.EDU"</f>
        <v>OIA@UTHSC.EDU</v>
      </c>
      <c r="X67" t="str">
        <f>"THE UNIVERSITY OF TENNESSEE HEALTH SCIENCE CENTER"</f>
        <v>THE UNIVERSITY OF TENNESSEE HEALTH SCIENCE CENTER</v>
      </c>
      <c r="Y67" t="str">
        <f>""</f>
        <v/>
      </c>
      <c r="Z67" t="str">
        <f>"910 MADISON AVENUE, SUITE 105"</f>
        <v>910 MADISON AVENUE, SUITE 105</v>
      </c>
      <c r="AA67" t="str">
        <f>""</f>
        <v/>
      </c>
      <c r="AB67" t="str">
        <f>"MEMPHIS"</f>
        <v>MEMPHIS</v>
      </c>
      <c r="AC67" t="str">
        <f>"TN"</f>
        <v>TN</v>
      </c>
      <c r="AD67" s="7" t="str">
        <f>"38163"</f>
        <v>38163</v>
      </c>
      <c r="AE67" t="str">
        <f t="shared" si="6"/>
        <v>UNITED STATES OF AMERICA</v>
      </c>
      <c r="AF67" t="str">
        <f>""</f>
        <v/>
      </c>
      <c r="AG67" s="9" t="str">
        <f>"901-448-8484"</f>
        <v>901-448-8484</v>
      </c>
      <c r="AH67" t="str">
        <f>""</f>
        <v/>
      </c>
      <c r="AI67" t="str">
        <f>"626001636"</f>
        <v>626001636</v>
      </c>
      <c r="AJ67" t="str">
        <f>"611310"</f>
        <v>611310</v>
      </c>
      <c r="AK67" t="s">
        <v>82</v>
      </c>
      <c r="AL67" t="s">
        <v>83</v>
      </c>
      <c r="AM67" t="s">
        <v>84</v>
      </c>
      <c r="AN67" t="s">
        <v>83</v>
      </c>
      <c r="AQ67" t="str">
        <f>"Medical Resident"</f>
        <v>Medical Resident</v>
      </c>
      <c r="AR67" t="str">
        <f>"29-1063"</f>
        <v>29-1063</v>
      </c>
      <c r="AS67" t="str">
        <f>"Internists, General"</f>
        <v>Internists, General</v>
      </c>
      <c r="AT67" t="str">
        <f>"Physician"</f>
        <v>Physician</v>
      </c>
      <c r="AU67" t="s">
        <v>83</v>
      </c>
      <c r="AV67" t="str">
        <f>""</f>
        <v/>
      </c>
      <c r="AW67" t="str">
        <f>"None"</f>
        <v>None</v>
      </c>
      <c r="AX67" t="s">
        <v>83</v>
      </c>
      <c r="AY67" t="str">
        <f>""</f>
        <v/>
      </c>
      <c r="AZ67" t="s">
        <v>86</v>
      </c>
      <c r="BA67" t="s">
        <v>87</v>
      </c>
      <c r="BB67" t="s">
        <v>88</v>
      </c>
      <c r="BC67" t="s">
        <v>83</v>
      </c>
      <c r="BE67" t="s">
        <v>83</v>
      </c>
      <c r="BH67" t="s">
        <v>83</v>
      </c>
      <c r="BK67" t="s">
        <v>84</v>
      </c>
      <c r="BL67" t="str">
        <f>"The University of Tennessee Health Science Center"</f>
        <v>The University of Tennessee Health Science Center</v>
      </c>
      <c r="BM67" t="str">
        <f>"920 Madison Avenue, GME"</f>
        <v>920 Madison Avenue, GME</v>
      </c>
      <c r="BN67" t="str">
        <f>"Memphis"</f>
        <v>Memphis</v>
      </c>
      <c r="BO67" t="s">
        <v>417</v>
      </c>
      <c r="BP67" t="s">
        <v>415</v>
      </c>
      <c r="BQ67" s="7" t="str">
        <f>"38163"</f>
        <v>38163</v>
      </c>
      <c r="BR67" t="s">
        <v>82</v>
      </c>
      <c r="BS67" t="str">
        <f>""</f>
        <v/>
      </c>
    </row>
    <row r="68" spans="1:71" ht="15" customHeight="1" x14ac:dyDescent="0.25">
      <c r="A68" t="s">
        <v>412</v>
      </c>
      <c r="B68" t="s">
        <v>80</v>
      </c>
      <c r="C68" s="1">
        <v>43446</v>
      </c>
      <c r="G68" s="1">
        <v>45617</v>
      </c>
      <c r="H68" t="s">
        <v>81</v>
      </c>
      <c r="I68" t="str">
        <f>"LLOYD"</f>
        <v>LLOYD</v>
      </c>
      <c r="J68" t="str">
        <f>"SAMANTHA"</f>
        <v>SAMANTHA</v>
      </c>
      <c r="K68" t="str">
        <f>"D"</f>
        <v>D</v>
      </c>
      <c r="L68" t="str">
        <f>"ATTORNEY"</f>
        <v>ATTORNEY</v>
      </c>
      <c r="M68" t="str">
        <f>"OGLETREE DEAKINS"</f>
        <v>OGLETREE DEAKINS</v>
      </c>
      <c r="N68" t="str">
        <f>"2000 S COLORADO BLVD, TOWER 3, SUITE 900"</f>
        <v>2000 S COLORADO BLVD, TOWER 3, SUITE 900</v>
      </c>
      <c r="O68" t="str">
        <f>"DENVER"</f>
        <v>DENVER</v>
      </c>
      <c r="P68" t="str">
        <f>"CO"</f>
        <v>CO</v>
      </c>
      <c r="Q68" s="7" t="str">
        <f>"80222"</f>
        <v>80222</v>
      </c>
      <c r="R68" t="str">
        <f t="shared" si="5"/>
        <v>UNITED STATES OF AMERICA</v>
      </c>
      <c r="S68" t="str">
        <f>""</f>
        <v/>
      </c>
      <c r="T68" s="7" t="str">
        <f>"303-764-6831"</f>
        <v>303-764-6831</v>
      </c>
      <c r="U68" t="str">
        <f>""</f>
        <v/>
      </c>
      <c r="V68" s="9" t="str">
        <f>"303-830-7989"</f>
        <v>303-830-7989</v>
      </c>
      <c r="W68" t="str">
        <f>"JUMIN.CHEN@OGLETREEDEAKINS.COM"</f>
        <v>JUMIN.CHEN@OGLETREEDEAKINS.COM</v>
      </c>
      <c r="X68" t="str">
        <f>"WESTERN UNION LLC"</f>
        <v>WESTERN UNION LLC</v>
      </c>
      <c r="Y68" t="str">
        <f>""</f>
        <v/>
      </c>
      <c r="Z68" t="str">
        <f>"7001 EAST BELLEVIEW AVE"</f>
        <v>7001 EAST BELLEVIEW AVE</v>
      </c>
      <c r="AA68" t="str">
        <f>""</f>
        <v/>
      </c>
      <c r="AB68" t="str">
        <f>"DENVER"</f>
        <v>DENVER</v>
      </c>
      <c r="AC68" t="str">
        <f>"CO"</f>
        <v>CO</v>
      </c>
      <c r="AD68" s="7" t="str">
        <f>"80237"</f>
        <v>80237</v>
      </c>
      <c r="AE68" t="str">
        <f t="shared" si="6"/>
        <v>UNITED STATES OF AMERICA</v>
      </c>
      <c r="AF68" t="str">
        <f>""</f>
        <v/>
      </c>
      <c r="AG68" s="9" t="str">
        <f>"720-332-0284"</f>
        <v>720-332-0284</v>
      </c>
      <c r="AH68" t="str">
        <f>""</f>
        <v/>
      </c>
      <c r="AI68" t="str">
        <f>"204561550"</f>
        <v>204561550</v>
      </c>
      <c r="AJ68" t="str">
        <f>"522320"</f>
        <v>522320</v>
      </c>
      <c r="AK68" t="s">
        <v>83</v>
      </c>
      <c r="AL68" t="s">
        <v>83</v>
      </c>
      <c r="AM68" t="s">
        <v>84</v>
      </c>
      <c r="AN68" t="s">
        <v>83</v>
      </c>
      <c r="AQ68" t="str">
        <f>"Senior Manager, Strategic Intelligence Unit"</f>
        <v>Senior Manager, Strategic Intelligence Unit</v>
      </c>
      <c r="AR68" t="str">
        <f>"13-2041"</f>
        <v>13-2041</v>
      </c>
      <c r="AS68" t="str">
        <f>"Credit Analysts"</f>
        <v>Credit Analysts</v>
      </c>
      <c r="AT68" t="str">
        <f>"Director, Financial Intelligence Unit"</f>
        <v>Director, Financial Intelligence Unit</v>
      </c>
      <c r="AU68" t="s">
        <v>83</v>
      </c>
      <c r="AV68" t="str">
        <f>""</f>
        <v/>
      </c>
      <c r="AW68" t="str">
        <f>"None"</f>
        <v>None</v>
      </c>
      <c r="AX68" t="s">
        <v>83</v>
      </c>
      <c r="AY68" t="str">
        <f>""</f>
        <v/>
      </c>
      <c r="AZ68" t="s">
        <v>93</v>
      </c>
      <c r="BB68" t="s">
        <v>94</v>
      </c>
      <c r="BC68" t="s">
        <v>83</v>
      </c>
      <c r="BE68" t="s">
        <v>83</v>
      </c>
      <c r="BH68" t="s">
        <v>82</v>
      </c>
      <c r="BI68">
        <v>12</v>
      </c>
      <c r="BJ68" t="s">
        <v>95</v>
      </c>
      <c r="BK68" s="2" t="s">
        <v>96</v>
      </c>
      <c r="BL68" t="str">
        <f>"7979 East Tufts Ave"</f>
        <v>7979 East Tufts Ave</v>
      </c>
      <c r="BM68" t="str">
        <f>""</f>
        <v/>
      </c>
      <c r="BN68" t="str">
        <f>"Denver"</f>
        <v>Denver</v>
      </c>
      <c r="BO68" t="s">
        <v>97</v>
      </c>
      <c r="BP68" t="s">
        <v>98</v>
      </c>
      <c r="BQ68" s="7" t="str">
        <f>"80237"</f>
        <v>80237</v>
      </c>
      <c r="BR68" t="s">
        <v>83</v>
      </c>
      <c r="BS68" t="str">
        <f>""</f>
        <v/>
      </c>
    </row>
    <row r="69" spans="1:71" ht="15" customHeight="1" x14ac:dyDescent="0.25">
      <c r="A69" t="s">
        <v>407</v>
      </c>
      <c r="B69" t="s">
        <v>80</v>
      </c>
      <c r="C69" s="1">
        <v>43445</v>
      </c>
      <c r="G69" s="1">
        <v>45617</v>
      </c>
      <c r="H69" t="s">
        <v>81</v>
      </c>
      <c r="I69" t="str">
        <f>"GOSS, ESQ."</f>
        <v>GOSS, ESQ.</v>
      </c>
      <c r="J69" t="str">
        <f>"ELIZABETH"</f>
        <v>ELIZABETH</v>
      </c>
      <c r="K69" t="str">
        <f>"ANN"</f>
        <v>ANN</v>
      </c>
      <c r="L69" t="str">
        <f>"Attorney"</f>
        <v>Attorney</v>
      </c>
      <c r="M69" t="str">
        <f>"177 MILK STREET"</f>
        <v>177 MILK STREET</v>
      </c>
      <c r="N69" t="str">
        <f>"SUITE 605"</f>
        <v>SUITE 605</v>
      </c>
      <c r="O69" t="str">
        <f>"BOSTON"</f>
        <v>BOSTON</v>
      </c>
      <c r="P69" t="str">
        <f>"MA"</f>
        <v>MA</v>
      </c>
      <c r="Q69" s="7" t="str">
        <f>"02109"</f>
        <v>02109</v>
      </c>
      <c r="R69" t="str">
        <f t="shared" si="5"/>
        <v>UNITED STATES OF AMERICA</v>
      </c>
      <c r="S69" t="str">
        <f>""</f>
        <v/>
      </c>
      <c r="T69" s="7" t="str">
        <f>"617-357-9300"</f>
        <v>617-357-9300</v>
      </c>
      <c r="U69" t="str">
        <f>""</f>
        <v/>
      </c>
      <c r="V69" s="9" t="str">
        <f>"857-991-1209"</f>
        <v>857-991-1209</v>
      </c>
      <c r="W69" t="str">
        <f>"info@GOSSIMMIGRATION.COM"</f>
        <v>info@GOSSIMMIGRATION.COM</v>
      </c>
      <c r="X69" t="str">
        <f>"IntelyCare, Inc."</f>
        <v>IntelyCare, Inc.</v>
      </c>
      <c r="Y69" t="str">
        <f>""</f>
        <v/>
      </c>
      <c r="Z69" t="str">
        <f>"1515 Hancock St."</f>
        <v>1515 Hancock St.</v>
      </c>
      <c r="AA69" t="str">
        <f>"Suite 203"</f>
        <v>Suite 203</v>
      </c>
      <c r="AB69" t="str">
        <f>"Quincy"</f>
        <v>Quincy</v>
      </c>
      <c r="AC69" t="str">
        <f>"MA"</f>
        <v>MA</v>
      </c>
      <c r="AD69" s="7" t="str">
        <f>"02169"</f>
        <v>02169</v>
      </c>
      <c r="AE69" t="str">
        <f t="shared" si="6"/>
        <v>UNITED STATES OF AMERICA</v>
      </c>
      <c r="AF69" t="str">
        <f>""</f>
        <v/>
      </c>
      <c r="AG69" s="9" t="str">
        <f>"617-283-5615"</f>
        <v>617-283-5615</v>
      </c>
      <c r="AH69" t="str">
        <f>""</f>
        <v/>
      </c>
      <c r="AI69" t="str">
        <f>"472739929"</f>
        <v>472739929</v>
      </c>
      <c r="AJ69" t="str">
        <f>"541519"</f>
        <v>541519</v>
      </c>
      <c r="AK69" t="s">
        <v>83</v>
      </c>
      <c r="AL69" t="s">
        <v>83</v>
      </c>
      <c r="AM69" t="s">
        <v>84</v>
      </c>
      <c r="AN69" t="s">
        <v>83</v>
      </c>
      <c r="AQ69" t="str">
        <f>"Lead QA Analyst"</f>
        <v>Lead QA Analyst</v>
      </c>
      <c r="AR69" t="str">
        <f>"15-1199"</f>
        <v>15-1199</v>
      </c>
      <c r="AS69" t="str">
        <f>"Computer Occupations, All Other"</f>
        <v>Computer Occupations, All Other</v>
      </c>
      <c r="AT69" t="str">
        <f>"CTO"</f>
        <v>CTO</v>
      </c>
      <c r="AU69" t="s">
        <v>82</v>
      </c>
      <c r="AV69" t="str">
        <f>"1"</f>
        <v>1</v>
      </c>
      <c r="AW69" t="str">
        <f>"Subordinate"</f>
        <v>Subordinate</v>
      </c>
      <c r="AX69" t="s">
        <v>83</v>
      </c>
      <c r="AY69" t="str">
        <f>""</f>
        <v/>
      </c>
      <c r="AZ69" t="s">
        <v>107</v>
      </c>
      <c r="BB69" t="s">
        <v>408</v>
      </c>
      <c r="BC69" t="s">
        <v>83</v>
      </c>
      <c r="BE69" t="s">
        <v>83</v>
      </c>
      <c r="BH69" t="s">
        <v>82</v>
      </c>
      <c r="BI69">
        <v>60</v>
      </c>
      <c r="BJ69" t="s">
        <v>409</v>
      </c>
      <c r="BK69" s="2" t="s">
        <v>410</v>
      </c>
      <c r="BL69" t="str">
        <f>"1515 Hancock St."</f>
        <v>1515 Hancock St.</v>
      </c>
      <c r="BM69" t="str">
        <f>""</f>
        <v/>
      </c>
      <c r="BN69" t="str">
        <f>"Quincy"</f>
        <v>Quincy</v>
      </c>
      <c r="BO69" t="s">
        <v>411</v>
      </c>
      <c r="BP69" t="s">
        <v>137</v>
      </c>
      <c r="BQ69" s="7" t="str">
        <f>"02169"</f>
        <v>02169</v>
      </c>
      <c r="BR69" t="s">
        <v>83</v>
      </c>
      <c r="BS69" t="str">
        <f>""</f>
        <v/>
      </c>
    </row>
    <row r="70" spans="1:71" ht="15" customHeight="1" x14ac:dyDescent="0.25">
      <c r="A70" t="s">
        <v>402</v>
      </c>
      <c r="B70" t="s">
        <v>80</v>
      </c>
      <c r="C70" s="1">
        <v>43438</v>
      </c>
      <c r="G70" s="1">
        <v>45617</v>
      </c>
      <c r="H70" t="s">
        <v>81</v>
      </c>
      <c r="I70" t="str">
        <f>"BLANCO"</f>
        <v>BLANCO</v>
      </c>
      <c r="J70" t="str">
        <f>"MANUEL"</f>
        <v>MANUEL</v>
      </c>
      <c r="K70" t="str">
        <f>"JUNIOR"</f>
        <v>JUNIOR</v>
      </c>
      <c r="L70" t="str">
        <f>"OWNER"</f>
        <v>OWNER</v>
      </c>
      <c r="M70" t="str">
        <f>"12978 NW 42 AVE UNIT 111"</f>
        <v>12978 NW 42 AVE UNIT 111</v>
      </c>
      <c r="N70" t="str">
        <f>""</f>
        <v/>
      </c>
      <c r="O70" t="str">
        <f>"OPA LOCKA"</f>
        <v>OPA LOCKA</v>
      </c>
      <c r="P70" t="str">
        <f>"FL"</f>
        <v>FL</v>
      </c>
      <c r="Q70" s="7" t="str">
        <f>"33054"</f>
        <v>33054</v>
      </c>
      <c r="R70" t="str">
        <f t="shared" si="5"/>
        <v>UNITED STATES OF AMERICA</v>
      </c>
      <c r="S70" t="str">
        <f>""</f>
        <v/>
      </c>
      <c r="T70" s="7" t="str">
        <f>"786-443-3746"</f>
        <v>786-443-3746</v>
      </c>
      <c r="U70" t="str">
        <f>""</f>
        <v/>
      </c>
      <c r="V70" s="9" t="str">
        <f>""</f>
        <v/>
      </c>
      <c r="W70" t="str">
        <f>"ARIESBLINDSINC@GMAIL.COM"</f>
        <v>ARIESBLINDSINC@GMAIL.COM</v>
      </c>
      <c r="X70" t="str">
        <f>"ARIES BLINDS INC"</f>
        <v>ARIES BLINDS INC</v>
      </c>
      <c r="Y70" t="str">
        <f>""</f>
        <v/>
      </c>
      <c r="Z70" t="str">
        <f>"12978 NW 42 AVE UNIT 111"</f>
        <v>12978 NW 42 AVE UNIT 111</v>
      </c>
      <c r="AA70" t="str">
        <f>""</f>
        <v/>
      </c>
      <c r="AB70" t="str">
        <f>"OPA LOCKA"</f>
        <v>OPA LOCKA</v>
      </c>
      <c r="AC70" t="str">
        <f>"FL"</f>
        <v>FL</v>
      </c>
      <c r="AD70" s="7" t="str">
        <f>"33054"</f>
        <v>33054</v>
      </c>
      <c r="AE70" t="str">
        <f t="shared" si="6"/>
        <v>UNITED STATES OF AMERICA</v>
      </c>
      <c r="AF70" t="str">
        <f>""</f>
        <v/>
      </c>
      <c r="AG70" s="9" t="str">
        <f>"786-443-3746"</f>
        <v>786-443-3746</v>
      </c>
      <c r="AH70" t="str">
        <f>""</f>
        <v/>
      </c>
      <c r="AI70" t="str">
        <f>"270790464"</f>
        <v>270790464</v>
      </c>
      <c r="AJ70" t="str">
        <f>"33792"</f>
        <v>33792</v>
      </c>
      <c r="AK70" t="s">
        <v>83</v>
      </c>
      <c r="AL70" t="s">
        <v>83</v>
      </c>
      <c r="AM70" t="s">
        <v>84</v>
      </c>
      <c r="AN70" t="s">
        <v>83</v>
      </c>
      <c r="AQ70" t="str">
        <f>"manufacturing of blinds motorized"</f>
        <v>manufacturing of blinds motorized</v>
      </c>
      <c r="AR70" t="str">
        <f>"51-9199"</f>
        <v>51-9199</v>
      </c>
      <c r="AS70" t="str">
        <f>"Production Workers, All Other"</f>
        <v>Production Workers, All Other</v>
      </c>
      <c r="AT70" t="str">
        <f>""</f>
        <v/>
      </c>
      <c r="AU70" t="s">
        <v>82</v>
      </c>
      <c r="AV70" t="str">
        <f>"4"</f>
        <v>4</v>
      </c>
      <c r="AW70" t="str">
        <f>"Subordinate"</f>
        <v>Subordinate</v>
      </c>
      <c r="AX70" t="s">
        <v>83</v>
      </c>
      <c r="AY70" t="str">
        <f>""</f>
        <v/>
      </c>
      <c r="AZ70" t="s">
        <v>270</v>
      </c>
      <c r="BA70" t="s">
        <v>403</v>
      </c>
      <c r="BB70" t="s">
        <v>404</v>
      </c>
      <c r="BC70" t="s">
        <v>83</v>
      </c>
      <c r="BE70" t="s">
        <v>83</v>
      </c>
      <c r="BH70" t="s">
        <v>82</v>
      </c>
      <c r="BI70">
        <v>12</v>
      </c>
      <c r="BJ70" t="s">
        <v>405</v>
      </c>
      <c r="BK70" s="2" t="s">
        <v>406</v>
      </c>
      <c r="BL70" t="str">
        <f>"12978 NW 42 AVE UNIT 111"</f>
        <v>12978 NW 42 AVE UNIT 111</v>
      </c>
      <c r="BM70" t="str">
        <f>""</f>
        <v/>
      </c>
      <c r="BN70" t="str">
        <f>"OPA LOCKA"</f>
        <v>OPA LOCKA</v>
      </c>
      <c r="BO70" t="s">
        <v>349</v>
      </c>
      <c r="BP70" t="s">
        <v>175</v>
      </c>
      <c r="BQ70" s="7" t="str">
        <f>"33054"</f>
        <v>33054</v>
      </c>
      <c r="BR70" t="s">
        <v>83</v>
      </c>
      <c r="BS70" t="str">
        <f>""</f>
        <v/>
      </c>
    </row>
    <row r="71" spans="1:71" ht="15" customHeight="1" x14ac:dyDescent="0.25">
      <c r="A71" t="s">
        <v>400</v>
      </c>
      <c r="B71" t="s">
        <v>80</v>
      </c>
      <c r="C71" s="1">
        <v>43431</v>
      </c>
      <c r="G71" s="1">
        <v>45617</v>
      </c>
      <c r="H71" t="s">
        <v>81</v>
      </c>
      <c r="I71" t="str">
        <f>"PITHIA"</f>
        <v>PITHIA</v>
      </c>
      <c r="J71" t="str">
        <f>"Henna"</f>
        <v>Henna</v>
      </c>
      <c r="K71" t="str">
        <f>"n/a"</f>
        <v>n/a</v>
      </c>
      <c r="L71" t="str">
        <f>"Attorney"</f>
        <v>Attorney</v>
      </c>
      <c r="M71" t="str">
        <f>"22 ADELAIDE STREET WEST"</f>
        <v>22 ADELAIDE STREET WEST</v>
      </c>
      <c r="N71" t="str">
        <f>"9th Floor"</f>
        <v>9th Floor</v>
      </c>
      <c r="O71" t="str">
        <f>"TORONTO"</f>
        <v>TORONTO</v>
      </c>
      <c r="P71" t="str">
        <f>""</f>
        <v/>
      </c>
      <c r="Q71" s="7" t="str">
        <f>"M5H4E3"</f>
        <v>M5H4E3</v>
      </c>
      <c r="R71" t="str">
        <f>"CANADA"</f>
        <v>CANADA</v>
      </c>
      <c r="S71" t="str">
        <f>"ONTARIO"</f>
        <v>ONTARIO</v>
      </c>
      <c r="T71" s="7" t="str">
        <f>"416-363-1234"</f>
        <v>416-363-1234</v>
      </c>
      <c r="U71" t="str">
        <f>""</f>
        <v/>
      </c>
      <c r="V71" s="9" t="str">
        <f>"416-363-8760"</f>
        <v>416-363-8760</v>
      </c>
      <c r="W71" t="str">
        <f>"DCPERM@GGSILAW.COM"</f>
        <v>DCPERM@GGSILAW.COM</v>
      </c>
      <c r="X71" t="str">
        <f>"DELOITTE CONSULTING LLP"</f>
        <v>DELOITTE CONSULTING LLP</v>
      </c>
      <c r="Y71" t="str">
        <f>""</f>
        <v/>
      </c>
      <c r="Z71" t="str">
        <f>"1700 MARKET STREET"</f>
        <v>1700 MARKET STREET</v>
      </c>
      <c r="AA71" t="str">
        <f>""</f>
        <v/>
      </c>
      <c r="AB71" t="str">
        <f>"PHILADELPHIA"</f>
        <v>PHILADELPHIA</v>
      </c>
      <c r="AC71" t="str">
        <f>"PA"</f>
        <v>PA</v>
      </c>
      <c r="AD71" s="7" t="str">
        <f>"19103"</f>
        <v>19103</v>
      </c>
      <c r="AE71" t="str">
        <f t="shared" si="6"/>
        <v>UNITED STATES OF AMERICA</v>
      </c>
      <c r="AF71" t="str">
        <f>""</f>
        <v/>
      </c>
      <c r="AG71" s="9" t="str">
        <f>"215-246-2300"</f>
        <v>215-246-2300</v>
      </c>
      <c r="AH71" t="str">
        <f>""</f>
        <v/>
      </c>
      <c r="AI71" t="str">
        <f>"61454513"</f>
        <v>61454513</v>
      </c>
      <c r="AJ71" t="str">
        <f>"54161"</f>
        <v>54161</v>
      </c>
      <c r="AK71" t="s">
        <v>83</v>
      </c>
      <c r="AL71" t="s">
        <v>83</v>
      </c>
      <c r="AM71" t="s">
        <v>84</v>
      </c>
      <c r="AN71" t="s">
        <v>83</v>
      </c>
      <c r="AQ71" t="str">
        <f>"Senior Consultant"</f>
        <v>Senior Consultant</v>
      </c>
      <c r="AR71" t="str">
        <f>"15-1132"</f>
        <v>15-1132</v>
      </c>
      <c r="AS71" t="str">
        <f>"Software Developers, Applications"</f>
        <v>Software Developers, Applications</v>
      </c>
      <c r="AT71" t="str">
        <f>"Manager"</f>
        <v>Manager</v>
      </c>
      <c r="AU71" t="s">
        <v>83</v>
      </c>
      <c r="AV71" t="str">
        <f>""</f>
        <v/>
      </c>
      <c r="AW71" t="str">
        <f>"None"</f>
        <v>None</v>
      </c>
      <c r="AX71" t="s">
        <v>82</v>
      </c>
      <c r="AY71" t="str">
        <f>"80% travel required to various unanticipated Deloitte office locations and client sites nationally."</f>
        <v>80% travel required to various unanticipated Deloitte office locations and client sites nationally.</v>
      </c>
      <c r="AZ71" t="s">
        <v>107</v>
      </c>
      <c r="BB71" t="s">
        <v>374</v>
      </c>
      <c r="BC71" t="s">
        <v>83</v>
      </c>
      <c r="BE71" t="s">
        <v>83</v>
      </c>
      <c r="BH71" t="s">
        <v>82</v>
      </c>
      <c r="BI71">
        <v>24</v>
      </c>
      <c r="BJ71" t="s">
        <v>374</v>
      </c>
      <c r="BK71" t="s">
        <v>401</v>
      </c>
      <c r="BL71" t="str">
        <f>"333 SE 2nd AVENUE"</f>
        <v>333 SE 2nd AVENUE</v>
      </c>
      <c r="BM71" t="str">
        <f>""</f>
        <v/>
      </c>
      <c r="BN71" t="str">
        <f>"Miami"</f>
        <v>Miami</v>
      </c>
      <c r="BO71" t="s">
        <v>349</v>
      </c>
      <c r="BP71" t="s">
        <v>175</v>
      </c>
      <c r="BQ71" s="7" t="str">
        <f>"33131"</f>
        <v>33131</v>
      </c>
      <c r="BR71" t="s">
        <v>82</v>
      </c>
      <c r="BS71" t="str">
        <f>""</f>
        <v/>
      </c>
    </row>
    <row r="72" spans="1:71" ht="15" customHeight="1" x14ac:dyDescent="0.25">
      <c r="A72" t="s">
        <v>396</v>
      </c>
      <c r="B72" t="s">
        <v>80</v>
      </c>
      <c r="C72" s="1">
        <v>43420</v>
      </c>
      <c r="G72" s="1">
        <v>45617</v>
      </c>
      <c r="H72" t="s">
        <v>81</v>
      </c>
      <c r="I72" t="str">
        <f>"HYKEL CUDDY"</f>
        <v>HYKEL CUDDY</v>
      </c>
      <c r="J72" t="str">
        <f>"RENEE"</f>
        <v>RENEE</v>
      </c>
      <c r="K72" t="str">
        <f>"N/A"</f>
        <v>N/A</v>
      </c>
      <c r="L72" t="str">
        <f>"Attorney"</f>
        <v>Attorney</v>
      </c>
      <c r="M72" t="str">
        <f>"1500 JOHN F. KENNEDY BLVD."</f>
        <v>1500 JOHN F. KENNEDY BLVD.</v>
      </c>
      <c r="N72" t="str">
        <f>"SUITE 1430"</f>
        <v>SUITE 1430</v>
      </c>
      <c r="O72" t="str">
        <f>"PHILADELPHIA"</f>
        <v>PHILADELPHIA</v>
      </c>
      <c r="P72" t="str">
        <f>"PA"</f>
        <v>PA</v>
      </c>
      <c r="Q72" s="7" t="str">
        <f>"19102"</f>
        <v>19102</v>
      </c>
      <c r="R72" t="str">
        <f t="shared" ref="R72:R86" si="7">"UNITED STATES OF AMERICA"</f>
        <v>UNITED STATES OF AMERICA</v>
      </c>
      <c r="S72" t="str">
        <f>""</f>
        <v/>
      </c>
      <c r="T72" s="7" t="str">
        <f>"215-246-9400"</f>
        <v>215-246-9400</v>
      </c>
      <c r="U72" t="str">
        <f>""</f>
        <v/>
      </c>
      <c r="V72" s="9" t="str">
        <f>"215-405-0449"</f>
        <v>215-405-0449</v>
      </c>
      <c r="W72" t="str">
        <f>"RMH@HYKELLAW.COM"</f>
        <v>RMH@HYKELLAW.COM</v>
      </c>
      <c r="X72" t="str">
        <f>"Community Health Care, Inc."</f>
        <v>Community Health Care, Inc.</v>
      </c>
      <c r="Y72" t="str">
        <f>"CompleteCare Health Network"</f>
        <v>CompleteCare Health Network</v>
      </c>
      <c r="Z72" t="str">
        <f>"53 S. Laurel Street"</f>
        <v>53 S. Laurel Street</v>
      </c>
      <c r="AA72" t="str">
        <f>"Second Floor"</f>
        <v>Second Floor</v>
      </c>
      <c r="AB72" t="str">
        <f>"Bridgeton"</f>
        <v>Bridgeton</v>
      </c>
      <c r="AC72" t="str">
        <f>"NJ"</f>
        <v>NJ</v>
      </c>
      <c r="AD72" s="7" t="str">
        <f>"08302"</f>
        <v>08302</v>
      </c>
      <c r="AE72" t="str">
        <f t="shared" si="6"/>
        <v>UNITED STATES OF AMERICA</v>
      </c>
      <c r="AF72" t="str">
        <f>""</f>
        <v/>
      </c>
      <c r="AG72" s="9" t="str">
        <f>"856-451-4700"</f>
        <v>856-451-4700</v>
      </c>
      <c r="AH72" t="str">
        <f>""</f>
        <v/>
      </c>
      <c r="AI72" t="str">
        <f>"222763588"</f>
        <v>222763588</v>
      </c>
      <c r="AJ72" t="str">
        <f>"621111"</f>
        <v>621111</v>
      </c>
      <c r="AK72" t="s">
        <v>83</v>
      </c>
      <c r="AL72" t="s">
        <v>83</v>
      </c>
      <c r="AM72" t="s">
        <v>84</v>
      </c>
      <c r="AN72" t="s">
        <v>83</v>
      </c>
      <c r="AQ72" t="str">
        <f>"Physician Obstetrician/Gynecologist"</f>
        <v>Physician Obstetrician/Gynecologist</v>
      </c>
      <c r="AR72" t="str">
        <f>"29-1064"</f>
        <v>29-1064</v>
      </c>
      <c r="AS72" t="str">
        <f>"Obstetricians and Gynecologists"</f>
        <v>Obstetricians and Gynecologists</v>
      </c>
      <c r="AT72" t="str">
        <f>"N/A"</f>
        <v>N/A</v>
      </c>
      <c r="AU72" t="s">
        <v>83</v>
      </c>
      <c r="AV72" t="str">
        <f>""</f>
        <v/>
      </c>
      <c r="AW72" t="str">
        <f>"None"</f>
        <v>None</v>
      </c>
      <c r="AX72" t="s">
        <v>83</v>
      </c>
      <c r="AY72" t="str">
        <f>""</f>
        <v/>
      </c>
      <c r="AZ72" t="s">
        <v>86</v>
      </c>
      <c r="BA72" t="s">
        <v>397</v>
      </c>
      <c r="BB72" t="s">
        <v>88</v>
      </c>
      <c r="BC72" t="s">
        <v>83</v>
      </c>
      <c r="BE72" t="s">
        <v>83</v>
      </c>
      <c r="BH72" t="s">
        <v>83</v>
      </c>
      <c r="BK72" t="s">
        <v>398</v>
      </c>
      <c r="BL72" t="str">
        <f>"484 S. Brewster Road"</f>
        <v>484 S. Brewster Road</v>
      </c>
      <c r="BM72" t="str">
        <f>""</f>
        <v/>
      </c>
      <c r="BN72" t="str">
        <f>"Vineland"</f>
        <v>Vineland</v>
      </c>
      <c r="BO72" t="s">
        <v>399</v>
      </c>
      <c r="BP72" t="s">
        <v>304</v>
      </c>
      <c r="BQ72" s="7" t="str">
        <f>"08361"</f>
        <v>08361</v>
      </c>
      <c r="BR72" t="s">
        <v>82</v>
      </c>
      <c r="BS72" t="str">
        <f>""</f>
        <v/>
      </c>
    </row>
    <row r="73" spans="1:71" ht="15" customHeight="1" x14ac:dyDescent="0.25">
      <c r="A73" t="s">
        <v>393</v>
      </c>
      <c r="B73" t="s">
        <v>80</v>
      </c>
      <c r="C73" s="1">
        <v>43419</v>
      </c>
      <c r="G73" s="1">
        <v>45617</v>
      </c>
      <c r="H73" t="s">
        <v>81</v>
      </c>
      <c r="I73" t="str">
        <f>"Hellrung"</f>
        <v>Hellrung</v>
      </c>
      <c r="J73" t="str">
        <f>"Matthew"</f>
        <v>Matthew</v>
      </c>
      <c r="K73" t="str">
        <f>"Paul"</f>
        <v>Paul</v>
      </c>
      <c r="L73" t="str">
        <f>"Partner"</f>
        <v>Partner</v>
      </c>
      <c r="M73" t="str">
        <f>"211 S Clark Street"</f>
        <v>211 S Clark Street</v>
      </c>
      <c r="N73" t="str">
        <f>"#735"</f>
        <v>#735</v>
      </c>
      <c r="O73" t="str">
        <f>"Chicago"</f>
        <v>Chicago</v>
      </c>
      <c r="P73" t="str">
        <f>"IL"</f>
        <v>IL</v>
      </c>
      <c r="Q73" s="7" t="str">
        <f>"60604"</f>
        <v>60604</v>
      </c>
      <c r="R73" t="str">
        <f t="shared" si="7"/>
        <v>UNITED STATES OF AMERICA</v>
      </c>
      <c r="S73" t="str">
        <f>""</f>
        <v/>
      </c>
      <c r="T73" s="7" t="str">
        <f>"312-340-9619"</f>
        <v>312-340-9619</v>
      </c>
      <c r="U73" t="str">
        <f>""</f>
        <v/>
      </c>
      <c r="V73" s="9" t="str">
        <f>""</f>
        <v/>
      </c>
      <c r="W73" t="str">
        <f>"SOPHIA@BRIDGE.US"</f>
        <v>SOPHIA@BRIDGE.US</v>
      </c>
      <c r="X73" t="str">
        <f>"Keep Truckin, Inc."</f>
        <v>Keep Truckin, Inc.</v>
      </c>
      <c r="Y73" t="str">
        <f>"N/A"</f>
        <v>N/A</v>
      </c>
      <c r="Z73" t="str">
        <f>"370 Townsend St"</f>
        <v>370 Townsend St</v>
      </c>
      <c r="AA73" t="str">
        <f>"N/A"</f>
        <v>N/A</v>
      </c>
      <c r="AB73" t="str">
        <f>"San Francisco"</f>
        <v>San Francisco</v>
      </c>
      <c r="AC73" t="str">
        <f>"CA"</f>
        <v>CA</v>
      </c>
      <c r="AD73" s="7" t="str">
        <f>"94107"</f>
        <v>94107</v>
      </c>
      <c r="AE73" t="str">
        <f t="shared" si="6"/>
        <v>UNITED STATES OF AMERICA</v>
      </c>
      <c r="AF73" t="str">
        <f>""</f>
        <v/>
      </c>
      <c r="AG73" s="9" t="str">
        <f>"855-434-3564"</f>
        <v>855-434-3564</v>
      </c>
      <c r="AH73" t="str">
        <f>""</f>
        <v/>
      </c>
      <c r="AI73" t="str">
        <f>"462330361"</f>
        <v>462330361</v>
      </c>
      <c r="AJ73" t="str">
        <f>"511210"</f>
        <v>511210</v>
      </c>
      <c r="AK73" t="s">
        <v>83</v>
      </c>
      <c r="AL73" t="s">
        <v>83</v>
      </c>
      <c r="AM73" t="s">
        <v>84</v>
      </c>
      <c r="AN73" t="s">
        <v>83</v>
      </c>
      <c r="AQ73" t="str">
        <f>"Head of Design"</f>
        <v>Head of Design</v>
      </c>
      <c r="AR73" t="str">
        <f>"27-1024"</f>
        <v>27-1024</v>
      </c>
      <c r="AS73" t="str">
        <f>"Graphic Designers"</f>
        <v>Graphic Designers</v>
      </c>
      <c r="AT73" t="str">
        <f>"CEO"</f>
        <v>CEO</v>
      </c>
      <c r="AU73" t="s">
        <v>82</v>
      </c>
      <c r="AV73" t="str">
        <f>"5"</f>
        <v>5</v>
      </c>
      <c r="AW73" t="str">
        <f>"Subordinate"</f>
        <v>Subordinate</v>
      </c>
      <c r="AX73" t="s">
        <v>83</v>
      </c>
      <c r="AY73" t="str">
        <f>""</f>
        <v/>
      </c>
      <c r="AZ73" t="s">
        <v>107</v>
      </c>
      <c r="BB73" t="s">
        <v>394</v>
      </c>
      <c r="BC73" t="s">
        <v>83</v>
      </c>
      <c r="BE73" t="s">
        <v>83</v>
      </c>
      <c r="BH73" t="s">
        <v>82</v>
      </c>
      <c r="BI73">
        <v>36</v>
      </c>
      <c r="BJ73" t="s">
        <v>260</v>
      </c>
      <c r="BK73" t="s">
        <v>395</v>
      </c>
      <c r="BL73" t="str">
        <f>"370 Townsend Street"</f>
        <v>370 Townsend Street</v>
      </c>
      <c r="BM73" t="str">
        <f>"N/A"</f>
        <v>N/A</v>
      </c>
      <c r="BN73" t="str">
        <f>"San Francisco"</f>
        <v>San Francisco</v>
      </c>
      <c r="BO73" t="s">
        <v>237</v>
      </c>
      <c r="BP73" t="s">
        <v>153</v>
      </c>
      <c r="BQ73" s="7" t="str">
        <f>"94107"</f>
        <v>94107</v>
      </c>
      <c r="BR73" t="s">
        <v>83</v>
      </c>
      <c r="BS73" t="str">
        <f>""</f>
        <v/>
      </c>
    </row>
    <row r="74" spans="1:71" ht="15" customHeight="1" x14ac:dyDescent="0.25">
      <c r="A74" t="s">
        <v>390</v>
      </c>
      <c r="B74" t="s">
        <v>80</v>
      </c>
      <c r="C74" s="1">
        <v>43417</v>
      </c>
      <c r="G74" s="1">
        <v>45617</v>
      </c>
      <c r="H74" t="s">
        <v>100</v>
      </c>
      <c r="I74" t="str">
        <f>"SNYDER"</f>
        <v>SNYDER</v>
      </c>
      <c r="J74" t="str">
        <f>"JOANNA"</f>
        <v>JOANNA</v>
      </c>
      <c r="K74" t="str">
        <f>"L"</f>
        <v>L</v>
      </c>
      <c r="L74" t="str">
        <f>"ASSOCIATE DIRECTOR, SCHOLAR SERVICES"</f>
        <v>ASSOCIATE DIRECTOR, SCHOLAR SERVICES</v>
      </c>
      <c r="M74" t="str">
        <f>"221 POPLARS"</f>
        <v>221 POPLARS</v>
      </c>
      <c r="N74" t="str">
        <f>"400 E SEVENTH ST"</f>
        <v>400 E SEVENTH ST</v>
      </c>
      <c r="O74" t="str">
        <f>"BLOOMINGTON"</f>
        <v>BLOOMINGTON</v>
      </c>
      <c r="P74" t="str">
        <f>"IN"</f>
        <v>IN</v>
      </c>
      <c r="Q74" s="7" t="str">
        <f>"47405"</f>
        <v>47405</v>
      </c>
      <c r="R74" t="str">
        <f t="shared" si="7"/>
        <v>UNITED STATES OF AMERICA</v>
      </c>
      <c r="S74" t="str">
        <f>""</f>
        <v/>
      </c>
      <c r="T74" s="7" t="str">
        <f>"812-855-9086"</f>
        <v>812-855-9086</v>
      </c>
      <c r="U74" t="str">
        <f>""</f>
        <v/>
      </c>
      <c r="V74" s="9" t="str">
        <f>"812-855-4418"</f>
        <v>812-855-4418</v>
      </c>
      <c r="W74" t="str">
        <f>"SNYDER1@INDIANA.EDU"</f>
        <v>SNYDER1@INDIANA.EDU</v>
      </c>
      <c r="X74" t="str">
        <f>"INDIANA UNIVERSITY"</f>
        <v>INDIANA UNIVERSITY</v>
      </c>
      <c r="Y74" t="str">
        <f>""</f>
        <v/>
      </c>
      <c r="Z74" t="str">
        <f>"POPLARS 221"</f>
        <v>POPLARS 221</v>
      </c>
      <c r="AA74" t="str">
        <f>"400 E SEVENTH ST"</f>
        <v>400 E SEVENTH ST</v>
      </c>
      <c r="AB74" t="str">
        <f>"BLOOMINGTON"</f>
        <v>BLOOMINGTON</v>
      </c>
      <c r="AC74" t="str">
        <f>"IN"</f>
        <v>IN</v>
      </c>
      <c r="AD74" s="7" t="str">
        <f>"47405"</f>
        <v>47405</v>
      </c>
      <c r="AE74" t="str">
        <f t="shared" si="6"/>
        <v>UNITED STATES OF AMERICA</v>
      </c>
      <c r="AF74" t="str">
        <f>""</f>
        <v/>
      </c>
      <c r="AG74" s="9" t="str">
        <f>"812-855-9086"</f>
        <v>812-855-9086</v>
      </c>
      <c r="AH74" t="str">
        <f>""</f>
        <v/>
      </c>
      <c r="AI74" t="str">
        <f>"356001673"</f>
        <v>356001673</v>
      </c>
      <c r="AJ74" t="str">
        <f>"611310"</f>
        <v>611310</v>
      </c>
      <c r="AK74" t="s">
        <v>82</v>
      </c>
      <c r="AL74" t="s">
        <v>83</v>
      </c>
      <c r="AM74" t="s">
        <v>84</v>
      </c>
      <c r="AN74" t="s">
        <v>83</v>
      </c>
      <c r="AQ74" t="str">
        <f>"Kurmanji Kurdish Language Developer"</f>
        <v>Kurmanji Kurdish Language Developer</v>
      </c>
      <c r="AR74" t="str">
        <f>"25-1124"</f>
        <v>25-1124</v>
      </c>
      <c r="AS74" t="str">
        <f>"Foreign Language and Literature Teachers, Postsecondary"</f>
        <v>Foreign Language and Literature Teachers, Postsecondary</v>
      </c>
      <c r="AT74" t="str">
        <f>"Director, Ctr for Languages of Central Asian Region"</f>
        <v>Director, Ctr for Languages of Central Asian Region</v>
      </c>
      <c r="AU74" t="s">
        <v>83</v>
      </c>
      <c r="AV74" t="str">
        <f>""</f>
        <v/>
      </c>
      <c r="AW74" t="str">
        <f t="shared" ref="AW74:AW79" si="8">"None"</f>
        <v>None</v>
      </c>
      <c r="AX74" t="s">
        <v>83</v>
      </c>
      <c r="AY74" t="str">
        <f>""</f>
        <v/>
      </c>
      <c r="AZ74" t="s">
        <v>107</v>
      </c>
      <c r="BB74" t="s">
        <v>391</v>
      </c>
      <c r="BC74" t="s">
        <v>83</v>
      </c>
      <c r="BE74" t="s">
        <v>83</v>
      </c>
      <c r="BH74" t="s">
        <v>83</v>
      </c>
      <c r="BK74" s="2" t="s">
        <v>392</v>
      </c>
      <c r="BL74" t="str">
        <f>"CeLCAR"</f>
        <v>CeLCAR</v>
      </c>
      <c r="BM74" t="str">
        <f>"1900 E 10th St"</f>
        <v>1900 E 10th St</v>
      </c>
      <c r="BN74" t="str">
        <f>"Bloomington"</f>
        <v>Bloomington</v>
      </c>
      <c r="BO74" t="s">
        <v>159</v>
      </c>
      <c r="BP74" t="s">
        <v>345</v>
      </c>
      <c r="BQ74" s="7" t="str">
        <f>"47405"</f>
        <v>47405</v>
      </c>
      <c r="BR74" t="s">
        <v>83</v>
      </c>
      <c r="BS74" t="str">
        <f>""</f>
        <v/>
      </c>
    </row>
    <row r="75" spans="1:71" ht="15" customHeight="1" x14ac:dyDescent="0.25">
      <c r="A75" t="s">
        <v>387</v>
      </c>
      <c r="B75" t="s">
        <v>80</v>
      </c>
      <c r="C75" s="1">
        <v>43409</v>
      </c>
      <c r="G75" s="1">
        <v>45617</v>
      </c>
      <c r="H75" t="s">
        <v>81</v>
      </c>
      <c r="I75" t="str">
        <f>"NAIDOO"</f>
        <v>NAIDOO</v>
      </c>
      <c r="J75" t="str">
        <f>"KAMLESAN"</f>
        <v>KAMLESAN</v>
      </c>
      <c r="K75" t="str">
        <f>"N/A"</f>
        <v>N/A</v>
      </c>
      <c r="L75" t="str">
        <f>"Attorney"</f>
        <v>Attorney</v>
      </c>
      <c r="M75" t="str">
        <f>"800 E. CAMPBELL RD. SUITE 142"</f>
        <v>800 E. CAMPBELL RD. SUITE 142</v>
      </c>
      <c r="N75" t="str">
        <f>""</f>
        <v/>
      </c>
      <c r="O75" t="str">
        <f>"RICHARDSON"</f>
        <v>RICHARDSON</v>
      </c>
      <c r="P75" t="str">
        <f>"TX"</f>
        <v>TX</v>
      </c>
      <c r="Q75" s="7" t="str">
        <f>"75081"</f>
        <v>75081</v>
      </c>
      <c r="R75" t="str">
        <f t="shared" si="7"/>
        <v>UNITED STATES OF AMERICA</v>
      </c>
      <c r="S75" t="str">
        <f>""</f>
        <v/>
      </c>
      <c r="T75" s="7" t="str">
        <f>"972-997-7233"</f>
        <v>972-997-7233</v>
      </c>
      <c r="U75" t="str">
        <f>""</f>
        <v/>
      </c>
      <c r="V75" s="9" t="str">
        <f>"972-997-7234"</f>
        <v>972-997-7234</v>
      </c>
      <c r="W75" t="str">
        <f>"KAMNAIDOO@NAIDOOLAW.COM"</f>
        <v>KAMNAIDOO@NAIDOOLAW.COM</v>
      </c>
      <c r="X75" t="str">
        <f>"Infovision, Inc."</f>
        <v>Infovision, Inc.</v>
      </c>
      <c r="Y75" t="str">
        <f>""</f>
        <v/>
      </c>
      <c r="Z75" t="str">
        <f>"800 E. Campbell Rd. Ste 388"</f>
        <v>800 E. Campbell Rd. Ste 388</v>
      </c>
      <c r="AA75" t="str">
        <f>""</f>
        <v/>
      </c>
      <c r="AB75" t="str">
        <f>"Richardson"</f>
        <v>Richardson</v>
      </c>
      <c r="AC75" t="str">
        <f>"TX"</f>
        <v>TX</v>
      </c>
      <c r="AD75" s="7" t="str">
        <f>"75081"</f>
        <v>75081</v>
      </c>
      <c r="AE75" t="str">
        <f t="shared" si="6"/>
        <v>UNITED STATES OF AMERICA</v>
      </c>
      <c r="AF75" t="str">
        <f>""</f>
        <v/>
      </c>
      <c r="AG75" s="9" t="str">
        <f>"972-234-0058"</f>
        <v>972-234-0058</v>
      </c>
      <c r="AH75" t="str">
        <f>""</f>
        <v/>
      </c>
      <c r="AI75" t="str">
        <f>"752614700"</f>
        <v>752614700</v>
      </c>
      <c r="AJ75" t="str">
        <f>"541511"</f>
        <v>541511</v>
      </c>
      <c r="AK75" t="s">
        <v>83</v>
      </c>
      <c r="AL75" t="s">
        <v>83</v>
      </c>
      <c r="AM75" t="s">
        <v>84</v>
      </c>
      <c r="AN75" t="s">
        <v>83</v>
      </c>
      <c r="AQ75" t="str">
        <f>"Software Engineer"</f>
        <v>Software Engineer</v>
      </c>
      <c r="AR75" t="str">
        <f>"15-1132"</f>
        <v>15-1132</v>
      </c>
      <c r="AS75" t="str">
        <f>"Software Developers, Applications"</f>
        <v>Software Developers, Applications</v>
      </c>
      <c r="AT75" t="str">
        <f>""</f>
        <v/>
      </c>
      <c r="AU75" t="s">
        <v>83</v>
      </c>
      <c r="AV75" t="str">
        <f>""</f>
        <v/>
      </c>
      <c r="AW75" t="str">
        <f t="shared" si="8"/>
        <v>None</v>
      </c>
      <c r="AX75" t="s">
        <v>83</v>
      </c>
      <c r="AY75" t="str">
        <f>""</f>
        <v/>
      </c>
      <c r="AZ75" t="s">
        <v>93</v>
      </c>
      <c r="BB75" t="s">
        <v>388</v>
      </c>
      <c r="BC75" t="s">
        <v>83</v>
      </c>
      <c r="BE75" t="s">
        <v>83</v>
      </c>
      <c r="BH75" t="s">
        <v>82</v>
      </c>
      <c r="BI75">
        <v>24</v>
      </c>
      <c r="BJ75" t="s">
        <v>389</v>
      </c>
      <c r="BK75" t="s">
        <v>84</v>
      </c>
      <c r="BL75" t="str">
        <f>"800 E. Campbell Rd."</f>
        <v>800 E. Campbell Rd.</v>
      </c>
      <c r="BM75" t="str">
        <f>"Ste 388"</f>
        <v>Ste 388</v>
      </c>
      <c r="BN75" t="str">
        <f>"Richardson"</f>
        <v>Richardson</v>
      </c>
      <c r="BO75" t="s">
        <v>324</v>
      </c>
      <c r="BP75" t="s">
        <v>191</v>
      </c>
      <c r="BQ75" s="7" t="str">
        <f>"75081"</f>
        <v>75081</v>
      </c>
      <c r="BR75" t="s">
        <v>83</v>
      </c>
      <c r="BS75" t="str">
        <f>""</f>
        <v/>
      </c>
    </row>
    <row r="76" spans="1:71" ht="15" customHeight="1" x14ac:dyDescent="0.25">
      <c r="A76" t="s">
        <v>383</v>
      </c>
      <c r="B76" t="s">
        <v>80</v>
      </c>
      <c r="C76" s="1">
        <v>43404</v>
      </c>
      <c r="G76" s="1">
        <v>45617</v>
      </c>
      <c r="H76" t="s">
        <v>81</v>
      </c>
      <c r="I76" t="str">
        <f>"GOLDBLUM"</f>
        <v>GOLDBLUM</v>
      </c>
      <c r="J76" t="str">
        <f>"JANE"</f>
        <v>JANE</v>
      </c>
      <c r="K76" t="str">
        <f>"W."</f>
        <v>W.</v>
      </c>
      <c r="L76" t="str">
        <f>"ATTORNEY"</f>
        <v>ATTORNEY</v>
      </c>
      <c r="M76" t="str">
        <f>"101 GREENWOOD AVENUE"</f>
        <v>101 GREENWOOD AVENUE</v>
      </c>
      <c r="N76" t="str">
        <f>"SUITE 380"</f>
        <v>SUITE 380</v>
      </c>
      <c r="O76" t="str">
        <f>"JENKINTOWN"</f>
        <v>JENKINTOWN</v>
      </c>
      <c r="P76" t="str">
        <f>"PA"</f>
        <v>PA</v>
      </c>
      <c r="Q76" s="7" t="str">
        <f>"19046"</f>
        <v>19046</v>
      </c>
      <c r="R76" t="str">
        <f t="shared" si="7"/>
        <v>UNITED STATES OF AMERICA</v>
      </c>
      <c r="S76" t="str">
        <f>""</f>
        <v/>
      </c>
      <c r="T76" s="7" t="str">
        <f>"215-885-3600"</f>
        <v>215-885-3600</v>
      </c>
      <c r="U76" t="str">
        <f>""</f>
        <v/>
      </c>
      <c r="V76" s="9" t="str">
        <f>"215-885-0324"</f>
        <v>215-885-0324</v>
      </c>
      <c r="W76" t="str">
        <f>"JANE@GOLDBLUMFIRM.COM"</f>
        <v>JANE@GOLDBLUMFIRM.COM</v>
      </c>
      <c r="X76" t="str">
        <f>"Trustees of the University of Pennsylvania"</f>
        <v>Trustees of the University of Pennsylvania</v>
      </c>
      <c r="Y76" t="str">
        <f>"University of Pennsylvania"</f>
        <v>University of Pennsylvania</v>
      </c>
      <c r="Z76" t="str">
        <f>"3701 Chestnut Street, Suite 1W"</f>
        <v>3701 Chestnut Street, Suite 1W</v>
      </c>
      <c r="AA76" t="str">
        <f>""</f>
        <v/>
      </c>
      <c r="AB76" t="str">
        <f>"Philadelphia"</f>
        <v>Philadelphia</v>
      </c>
      <c r="AC76" t="str">
        <f>"PA"</f>
        <v>PA</v>
      </c>
      <c r="AD76" s="7" t="str">
        <f>"19104"</f>
        <v>19104</v>
      </c>
      <c r="AE76" t="str">
        <f t="shared" si="6"/>
        <v>UNITED STATES OF AMERICA</v>
      </c>
      <c r="AF76" t="str">
        <f>""</f>
        <v/>
      </c>
      <c r="AG76" s="9" t="str">
        <f>"215-898-4661"</f>
        <v>215-898-4661</v>
      </c>
      <c r="AH76" t="str">
        <f>""</f>
        <v/>
      </c>
      <c r="AI76" t="str">
        <f>"231352685"</f>
        <v>231352685</v>
      </c>
      <c r="AJ76" t="str">
        <f>"611310"</f>
        <v>611310</v>
      </c>
      <c r="AK76" t="s">
        <v>82</v>
      </c>
      <c r="AL76" t="s">
        <v>83</v>
      </c>
      <c r="AM76" t="s">
        <v>84</v>
      </c>
      <c r="AN76" t="s">
        <v>83</v>
      </c>
      <c r="AQ76" t="str">
        <f>"Korean Studies Instructional Coordinator"</f>
        <v>Korean Studies Instructional Coordinator</v>
      </c>
      <c r="AR76" t="str">
        <f>"25-9031"</f>
        <v>25-9031</v>
      </c>
      <c r="AS76" t="str">
        <f>"Instructional Coordinators"</f>
        <v>Instructional Coordinators</v>
      </c>
      <c r="AT76" t="str">
        <f>"Director - James Joo-Jin Kim Program in Korean Studies"</f>
        <v>Director - James Joo-Jin Kim Program in Korean Studies</v>
      </c>
      <c r="AU76" t="s">
        <v>83</v>
      </c>
      <c r="AV76" t="str">
        <f>""</f>
        <v/>
      </c>
      <c r="AW76" t="str">
        <f t="shared" si="8"/>
        <v>None</v>
      </c>
      <c r="AX76" t="s">
        <v>82</v>
      </c>
      <c r="AY76" t="s">
        <v>384</v>
      </c>
      <c r="AZ76" t="s">
        <v>93</v>
      </c>
      <c r="BA76" t="s">
        <v>84</v>
      </c>
      <c r="BB76" t="s">
        <v>385</v>
      </c>
      <c r="BC76" t="s">
        <v>83</v>
      </c>
      <c r="BE76" t="s">
        <v>83</v>
      </c>
      <c r="BH76" t="s">
        <v>83</v>
      </c>
      <c r="BK76" s="2" t="s">
        <v>386</v>
      </c>
      <c r="BL76" t="str">
        <f>"255 S. 36th Street"</f>
        <v>255 S. 36th Street</v>
      </c>
      <c r="BM76" t="str">
        <f>""</f>
        <v/>
      </c>
      <c r="BN76" t="str">
        <f>"Philadelphia"</f>
        <v>Philadelphia</v>
      </c>
      <c r="BO76" t="s">
        <v>186</v>
      </c>
      <c r="BP76" t="s">
        <v>165</v>
      </c>
      <c r="BQ76" s="7" t="str">
        <f>"19104"</f>
        <v>19104</v>
      </c>
      <c r="BR76" t="s">
        <v>83</v>
      </c>
      <c r="BS76" t="str">
        <f>""</f>
        <v/>
      </c>
    </row>
    <row r="77" spans="1:71" ht="15" customHeight="1" x14ac:dyDescent="0.25">
      <c r="A77" t="s">
        <v>369</v>
      </c>
      <c r="B77" t="s">
        <v>80</v>
      </c>
      <c r="C77" s="1">
        <v>43399</v>
      </c>
      <c r="G77" s="1">
        <v>45617</v>
      </c>
      <c r="H77" t="s">
        <v>81</v>
      </c>
      <c r="I77" t="str">
        <f>"GUPTA"</f>
        <v>GUPTA</v>
      </c>
      <c r="J77" t="str">
        <f>"OISHIKA"</f>
        <v>OISHIKA</v>
      </c>
      <c r="K77" t="str">
        <f>"N/A"</f>
        <v>N/A</v>
      </c>
      <c r="L77" t="str">
        <f>"ATTORNEY"</f>
        <v>ATTORNEY</v>
      </c>
      <c r="M77" t="str">
        <f>"100 HIGH STREET"</f>
        <v>100 HIGH STREET</v>
      </c>
      <c r="N77" t="str">
        <f>"3RD FLOOR"</f>
        <v>3RD FLOOR</v>
      </c>
      <c r="O77" t="str">
        <f>"BOSTON"</f>
        <v>BOSTON</v>
      </c>
      <c r="P77" t="str">
        <f>"MA"</f>
        <v>MA</v>
      </c>
      <c r="Q77" s="7" t="str">
        <f>"02110"</f>
        <v>02110</v>
      </c>
      <c r="R77" t="str">
        <f t="shared" si="7"/>
        <v>UNITED STATES OF AMERICA</v>
      </c>
      <c r="S77" t="str">
        <f>""</f>
        <v/>
      </c>
      <c r="T77" s="7" t="str">
        <f>"617-574-0400"</f>
        <v>617-574-0400</v>
      </c>
      <c r="U77" t="str">
        <f>""</f>
        <v/>
      </c>
      <c r="V77" s="9" t="str">
        <f>""</f>
        <v/>
      </c>
      <c r="W77" t="str">
        <f>"LMCKILLIP@FRAGOMEN.COM"</f>
        <v>LMCKILLIP@FRAGOMEN.COM</v>
      </c>
      <c r="X77" t="str">
        <f>"INTELLIA THERAPEUTICS"</f>
        <v>INTELLIA THERAPEUTICS</v>
      </c>
      <c r="Y77" t="str">
        <f>""</f>
        <v/>
      </c>
      <c r="Z77" t="str">
        <f>"40 ERIE STREET"</f>
        <v>40 ERIE STREET</v>
      </c>
      <c r="AA77" t="str">
        <f>""</f>
        <v/>
      </c>
      <c r="AB77" t="str">
        <f>"CAMBRIDGE"</f>
        <v>CAMBRIDGE</v>
      </c>
      <c r="AC77" t="str">
        <f>"MA"</f>
        <v>MA</v>
      </c>
      <c r="AD77" s="7" t="str">
        <f>"02139"</f>
        <v>02139</v>
      </c>
      <c r="AE77" t="str">
        <f t="shared" si="6"/>
        <v>UNITED STATES OF AMERICA</v>
      </c>
      <c r="AF77" t="str">
        <f>""</f>
        <v/>
      </c>
      <c r="AG77" s="9" t="str">
        <f>"857-285-6773"</f>
        <v>857-285-6773</v>
      </c>
      <c r="AH77" t="str">
        <f>""</f>
        <v/>
      </c>
      <c r="AI77" t="str">
        <f>"364785571"</f>
        <v>364785571</v>
      </c>
      <c r="AJ77" t="str">
        <f>"541711"</f>
        <v>541711</v>
      </c>
      <c r="AK77" t="s">
        <v>83</v>
      </c>
      <c r="AL77" t="s">
        <v>83</v>
      </c>
      <c r="AM77" t="s">
        <v>84</v>
      </c>
      <c r="AN77" t="s">
        <v>83</v>
      </c>
      <c r="AQ77" t="str">
        <f>"Senior Associate Scientist"</f>
        <v>Senior Associate Scientist</v>
      </c>
      <c r="AR77" t="str">
        <f>"19-1029"</f>
        <v>19-1029</v>
      </c>
      <c r="AS77" t="str">
        <f>"Biological Scientists, All Other"</f>
        <v>Biological Scientists, All Other</v>
      </c>
      <c r="AT77" t="str">
        <f>"Associate Director, R&amp;D"</f>
        <v>Associate Director, R&amp;D</v>
      </c>
      <c r="AU77" t="s">
        <v>83</v>
      </c>
      <c r="AV77" t="str">
        <f>""</f>
        <v/>
      </c>
      <c r="AW77" t="str">
        <f t="shared" si="8"/>
        <v>None</v>
      </c>
      <c r="AX77" t="s">
        <v>83</v>
      </c>
      <c r="AY77" t="str">
        <f>""</f>
        <v/>
      </c>
      <c r="AZ77" t="s">
        <v>93</v>
      </c>
      <c r="BB77" t="s">
        <v>370</v>
      </c>
      <c r="BC77" t="s">
        <v>83</v>
      </c>
      <c r="BE77" t="s">
        <v>83</v>
      </c>
      <c r="BH77" t="s">
        <v>82</v>
      </c>
      <c r="BI77">
        <v>24</v>
      </c>
      <c r="BJ77" t="s">
        <v>371</v>
      </c>
      <c r="BK77" s="2" t="s">
        <v>372</v>
      </c>
      <c r="BL77" t="str">
        <f>"Intellia Therapeutics, Inc."</f>
        <v>Intellia Therapeutics, Inc.</v>
      </c>
      <c r="BM77" t="str">
        <f>"40 Erie Street"</f>
        <v>40 Erie Street</v>
      </c>
      <c r="BN77" t="str">
        <f>"Cambridge"</f>
        <v>Cambridge</v>
      </c>
      <c r="BO77" t="s">
        <v>223</v>
      </c>
      <c r="BP77" t="s">
        <v>137</v>
      </c>
      <c r="BQ77" s="7" t="str">
        <f>"02139"</f>
        <v>02139</v>
      </c>
      <c r="BR77" t="s">
        <v>83</v>
      </c>
      <c r="BS77" t="str">
        <f>""</f>
        <v/>
      </c>
    </row>
    <row r="78" spans="1:71" ht="15" customHeight="1" x14ac:dyDescent="0.25">
      <c r="A78" t="s">
        <v>373</v>
      </c>
      <c r="B78" t="s">
        <v>80</v>
      </c>
      <c r="C78" s="1">
        <v>43399</v>
      </c>
      <c r="G78" s="1">
        <v>45617</v>
      </c>
      <c r="H78" t="s">
        <v>81</v>
      </c>
      <c r="I78" t="str">
        <f>"Brodie"</f>
        <v>Brodie</v>
      </c>
      <c r="J78" t="str">
        <f>"Alissa"</f>
        <v>Alissa</v>
      </c>
      <c r="K78" t="str">
        <f>"N/A"</f>
        <v>N/A</v>
      </c>
      <c r="L78" t="str">
        <f>"Attorney"</f>
        <v>Attorney</v>
      </c>
      <c r="M78" t="str">
        <f>"1225 17th Street"</f>
        <v>1225 17th Street</v>
      </c>
      <c r="N78" t="str">
        <f>"Suite 2200"</f>
        <v>Suite 2200</v>
      </c>
      <c r="O78" t="str">
        <f>"Denver"</f>
        <v>Denver</v>
      </c>
      <c r="P78" t="str">
        <f>"CO"</f>
        <v>CO</v>
      </c>
      <c r="Q78" s="7" t="str">
        <f>"80202"</f>
        <v>80202</v>
      </c>
      <c r="R78" t="str">
        <f t="shared" si="7"/>
        <v>UNITED STATES OF AMERICA</v>
      </c>
      <c r="S78" t="str">
        <f>""</f>
        <v/>
      </c>
      <c r="T78" s="7" t="str">
        <f>"303-446-3846"</f>
        <v>303-446-3846</v>
      </c>
      <c r="U78" t="str">
        <f>""</f>
        <v/>
      </c>
      <c r="V78" s="9" t="str">
        <f>"303-292-1300"</f>
        <v>303-292-1300</v>
      </c>
      <c r="W78" t="str">
        <f>"abrodie@foxrothschild.com"</f>
        <v>abrodie@foxrothschild.com</v>
      </c>
      <c r="X78" t="str">
        <f>"WELLTOK, INC."</f>
        <v>WELLTOK, INC.</v>
      </c>
      <c r="Y78" t="str">
        <f>""</f>
        <v/>
      </c>
      <c r="Z78" t="str">
        <f>"1515 ARAPAHOE STREET, TOWER III"</f>
        <v>1515 ARAPAHOE STREET, TOWER III</v>
      </c>
      <c r="AA78" t="str">
        <f>"SUITE 700"</f>
        <v>SUITE 700</v>
      </c>
      <c r="AB78" t="str">
        <f>"DENVER"</f>
        <v>DENVER</v>
      </c>
      <c r="AC78" t="str">
        <f>"CO"</f>
        <v>CO</v>
      </c>
      <c r="AD78" s="7" t="str">
        <f>"80202"</f>
        <v>80202</v>
      </c>
      <c r="AE78" t="str">
        <f t="shared" si="6"/>
        <v>UNITED STATES OF AMERICA</v>
      </c>
      <c r="AF78" t="str">
        <f>""</f>
        <v/>
      </c>
      <c r="AG78" s="9" t="str">
        <f>"888-935-5865"</f>
        <v>888-935-5865</v>
      </c>
      <c r="AH78" t="str">
        <f>""</f>
        <v/>
      </c>
      <c r="AI78" t="str">
        <f>"264622137"</f>
        <v>264622137</v>
      </c>
      <c r="AJ78" t="str">
        <f>"541512"</f>
        <v>541512</v>
      </c>
      <c r="AK78" t="s">
        <v>83</v>
      </c>
      <c r="AL78" t="s">
        <v>83</v>
      </c>
      <c r="AM78" t="s">
        <v>84</v>
      </c>
      <c r="AN78" t="s">
        <v>83</v>
      </c>
      <c r="AQ78" t="str">
        <f>"Senior Data Analyst"</f>
        <v>Senior Data Analyst</v>
      </c>
      <c r="AR78" t="str">
        <f>"15-2041"</f>
        <v>15-2041</v>
      </c>
      <c r="AS78" t="str">
        <f>"Statisticians"</f>
        <v>Statisticians</v>
      </c>
      <c r="AT78" t="str">
        <f>"Director, Data Engineering"</f>
        <v>Director, Data Engineering</v>
      </c>
      <c r="AU78" t="s">
        <v>83</v>
      </c>
      <c r="AV78" t="str">
        <f>""</f>
        <v/>
      </c>
      <c r="AW78" t="str">
        <f t="shared" si="8"/>
        <v>None</v>
      </c>
      <c r="AX78" t="s">
        <v>83</v>
      </c>
      <c r="AY78" t="str">
        <f>""</f>
        <v/>
      </c>
      <c r="AZ78" t="s">
        <v>107</v>
      </c>
      <c r="BA78" t="s">
        <v>84</v>
      </c>
      <c r="BB78" t="s">
        <v>374</v>
      </c>
      <c r="BC78" t="s">
        <v>83</v>
      </c>
      <c r="BE78" t="s">
        <v>83</v>
      </c>
      <c r="BH78" t="s">
        <v>82</v>
      </c>
      <c r="BI78">
        <v>24</v>
      </c>
      <c r="BJ78" t="s">
        <v>375</v>
      </c>
      <c r="BK78" s="2" t="s">
        <v>376</v>
      </c>
      <c r="BL78" t="str">
        <f>"67 South Bedford Street"</f>
        <v>67 South Bedford Street</v>
      </c>
      <c r="BM78" t="str">
        <f>"Suite 300E"</f>
        <v>Suite 300E</v>
      </c>
      <c r="BN78" t="str">
        <f>"Burlington"</f>
        <v>Burlington</v>
      </c>
      <c r="BO78" t="s">
        <v>377</v>
      </c>
      <c r="BP78" t="s">
        <v>137</v>
      </c>
      <c r="BQ78" s="7" t="str">
        <f>"01803"</f>
        <v>01803</v>
      </c>
      <c r="BR78" t="s">
        <v>83</v>
      </c>
      <c r="BS78" t="str">
        <f>""</f>
        <v/>
      </c>
    </row>
    <row r="79" spans="1:71" ht="15" customHeight="1" x14ac:dyDescent="0.25">
      <c r="A79" t="s">
        <v>378</v>
      </c>
      <c r="B79" t="s">
        <v>80</v>
      </c>
      <c r="C79" s="1">
        <v>43399</v>
      </c>
      <c r="G79" s="1">
        <v>45617</v>
      </c>
      <c r="H79" t="s">
        <v>81</v>
      </c>
      <c r="I79" t="str">
        <f>"ALANIS"</f>
        <v>ALANIS</v>
      </c>
      <c r="J79" t="str">
        <f>"KRYSTAL"</f>
        <v>KRYSTAL</v>
      </c>
      <c r="K79" t="str">
        <f>"N/A"</f>
        <v>N/A</v>
      </c>
      <c r="L79" t="str">
        <f>"ATTORNEY AT LAW"</f>
        <v>ATTORNEY AT LAW</v>
      </c>
      <c r="M79" t="str">
        <f>"P.O. BOX 421409"</f>
        <v>P.O. BOX 421409</v>
      </c>
      <c r="N79" t="str">
        <f>""</f>
        <v/>
      </c>
      <c r="O79" t="str">
        <f>"HOUSTON"</f>
        <v>HOUSTON</v>
      </c>
      <c r="P79" t="str">
        <f>"TX"</f>
        <v>TX</v>
      </c>
      <c r="Q79" s="7" t="str">
        <f>"77242"</f>
        <v>77242</v>
      </c>
      <c r="R79" t="str">
        <f t="shared" si="7"/>
        <v>UNITED STATES OF AMERICA</v>
      </c>
      <c r="S79" t="str">
        <f>""</f>
        <v/>
      </c>
      <c r="T79" s="7" t="str">
        <f>"713-457-5703"</f>
        <v>713-457-5703</v>
      </c>
      <c r="U79" t="str">
        <f>""</f>
        <v/>
      </c>
      <c r="V79" s="9" t="str">
        <f>"713-953-7797"</f>
        <v>713-953-7797</v>
      </c>
      <c r="W79" t="str">
        <f>"STEPHANIE@RNLAWGROUP.COM"</f>
        <v>STEPHANIE@RNLAWGROUP.COM</v>
      </c>
      <c r="X79" t="str">
        <f>"Cybersoft Technologies, Inc."</f>
        <v>Cybersoft Technologies, Inc.</v>
      </c>
      <c r="Y79" t="str">
        <f>"N/A"</f>
        <v>N/A</v>
      </c>
      <c r="Z79" t="str">
        <f>"4422 Cypress Creek Pkwy, Ste. 400"</f>
        <v>4422 Cypress Creek Pkwy, Ste. 400</v>
      </c>
      <c r="AA79" t="str">
        <f>""</f>
        <v/>
      </c>
      <c r="AB79" t="str">
        <f>"Houston"</f>
        <v>Houston</v>
      </c>
      <c r="AC79" t="str">
        <f>"TX"</f>
        <v>TX</v>
      </c>
      <c r="AD79" s="7" t="str">
        <f>"77068"</f>
        <v>77068</v>
      </c>
      <c r="AE79" t="str">
        <f t="shared" si="6"/>
        <v>UNITED STATES OF AMERICA</v>
      </c>
      <c r="AF79" t="str">
        <f>""</f>
        <v/>
      </c>
      <c r="AG79" s="9" t="str">
        <f>"281-453-8502"</f>
        <v>281-453-8502</v>
      </c>
      <c r="AH79" t="str">
        <f>""</f>
        <v/>
      </c>
      <c r="AI79" t="str">
        <f>"760560869"</f>
        <v>760560869</v>
      </c>
      <c r="AJ79" t="str">
        <f>"541519"</f>
        <v>541519</v>
      </c>
      <c r="AK79" t="s">
        <v>83</v>
      </c>
      <c r="AL79" t="s">
        <v>83</v>
      </c>
      <c r="AM79" t="s">
        <v>84</v>
      </c>
      <c r="AN79" t="s">
        <v>83</v>
      </c>
      <c r="AQ79" t="str">
        <f>"Computer Programmer"</f>
        <v>Computer Programmer</v>
      </c>
      <c r="AR79" t="str">
        <f>"15-1131"</f>
        <v>15-1131</v>
      </c>
      <c r="AS79" t="str">
        <f>"Computer Programmers"</f>
        <v>Computer Programmers</v>
      </c>
      <c r="AT79" t="str">
        <f>"Vice President"</f>
        <v>Vice President</v>
      </c>
      <c r="AU79" t="s">
        <v>83</v>
      </c>
      <c r="AV79" t="str">
        <f>""</f>
        <v/>
      </c>
      <c r="AW79" t="str">
        <f t="shared" si="8"/>
        <v>None</v>
      </c>
      <c r="AX79" t="s">
        <v>82</v>
      </c>
      <c r="AY79" t="str">
        <f>"Will work in unanticipated locations."</f>
        <v>Will work in unanticipated locations.</v>
      </c>
      <c r="AZ79" t="s">
        <v>86</v>
      </c>
      <c r="BA79" t="s">
        <v>379</v>
      </c>
      <c r="BB79" t="s">
        <v>380</v>
      </c>
      <c r="BC79" t="s">
        <v>83</v>
      </c>
      <c r="BE79" t="s">
        <v>83</v>
      </c>
      <c r="BH79" t="s">
        <v>82</v>
      </c>
      <c r="BI79">
        <v>36</v>
      </c>
      <c r="BJ79" t="s">
        <v>381</v>
      </c>
      <c r="BK79" t="s">
        <v>382</v>
      </c>
      <c r="BL79" t="str">
        <f>"4422 Cypress Creek Pkwy, Ste. 400"</f>
        <v>4422 Cypress Creek Pkwy, Ste. 400</v>
      </c>
      <c r="BM79" t="str">
        <f>""</f>
        <v/>
      </c>
      <c r="BN79" t="str">
        <f>"Houston"</f>
        <v>Houston</v>
      </c>
      <c r="BO79" t="s">
        <v>227</v>
      </c>
      <c r="BP79" t="s">
        <v>191</v>
      </c>
      <c r="BQ79" s="7" t="str">
        <f>"77068"</f>
        <v>77068</v>
      </c>
      <c r="BR79" t="s">
        <v>82</v>
      </c>
      <c r="BS79" t="str">
        <f>""</f>
        <v/>
      </c>
    </row>
    <row r="80" spans="1:71" ht="15" customHeight="1" x14ac:dyDescent="0.25">
      <c r="A80" t="s">
        <v>364</v>
      </c>
      <c r="B80" t="s">
        <v>80</v>
      </c>
      <c r="C80" s="1">
        <v>43397</v>
      </c>
      <c r="G80" s="1">
        <v>45617</v>
      </c>
      <c r="H80" t="s">
        <v>81</v>
      </c>
      <c r="I80" t="str">
        <f>"COFFEY"</f>
        <v>COFFEY</v>
      </c>
      <c r="J80" t="str">
        <f>"JUSTIN"</f>
        <v>JUSTIN</v>
      </c>
      <c r="K80" t="str">
        <f>"S"</f>
        <v>S</v>
      </c>
      <c r="L80" t="str">
        <f>"ATTORNEY"</f>
        <v>ATTORNEY</v>
      </c>
      <c r="M80" t="str">
        <f>"4208 SIX FORKS ROAD"</f>
        <v>4208 SIX FORKS ROAD</v>
      </c>
      <c r="N80" t="str">
        <f>"SUITE 1100"</f>
        <v>SUITE 1100</v>
      </c>
      <c r="O80" t="str">
        <f>"RALEIGH"</f>
        <v>RALEIGH</v>
      </c>
      <c r="P80" t="str">
        <f>"NC"</f>
        <v>NC</v>
      </c>
      <c r="Q80" s="7" t="str">
        <f>"27609"</f>
        <v>27609</v>
      </c>
      <c r="R80" t="str">
        <f t="shared" si="7"/>
        <v>UNITED STATES OF AMERICA</v>
      </c>
      <c r="S80" t="str">
        <f>""</f>
        <v/>
      </c>
      <c r="T80" s="7" t="str">
        <f>"919-787-9700"</f>
        <v>919-787-9700</v>
      </c>
      <c r="U80" t="str">
        <f>""</f>
        <v/>
      </c>
      <c r="V80" s="9" t="str">
        <f>""</f>
        <v/>
      </c>
      <c r="W80" t="str">
        <f>"MICHELE.SMITH@OGLETREEDEAKINS.COM"</f>
        <v>MICHELE.SMITH@OGLETREEDEAKINS.COM</v>
      </c>
      <c r="X80" t="str">
        <f>"FEDEX CORPORATE SERVICES, INC."</f>
        <v>FEDEX CORPORATE SERVICES, INC.</v>
      </c>
      <c r="Y80" t="str">
        <f>"N/A"</f>
        <v>N/A</v>
      </c>
      <c r="Z80" t="str">
        <f>"50 FEDEX PARKWAY"</f>
        <v>50 FEDEX PARKWAY</v>
      </c>
      <c r="AA80" t="str">
        <f>""</f>
        <v/>
      </c>
      <c r="AB80" t="str">
        <f>"COLLIERVILLE"</f>
        <v>COLLIERVILLE</v>
      </c>
      <c r="AC80" t="str">
        <f>"TN"</f>
        <v>TN</v>
      </c>
      <c r="AD80" s="7" t="str">
        <f>"38017"</f>
        <v>38017</v>
      </c>
      <c r="AE80" t="str">
        <f t="shared" si="6"/>
        <v>UNITED STATES OF AMERICA</v>
      </c>
      <c r="AF80" t="str">
        <f>"N/A"</f>
        <v>N/A</v>
      </c>
      <c r="AG80" s="9" t="str">
        <f>"901-263-7781"</f>
        <v>901-263-7781</v>
      </c>
      <c r="AH80" t="str">
        <f>""</f>
        <v/>
      </c>
      <c r="AI80" t="str">
        <f>"621808017"</f>
        <v>621808017</v>
      </c>
      <c r="AJ80" t="str">
        <f>"492110"</f>
        <v>492110</v>
      </c>
      <c r="AK80" t="s">
        <v>83</v>
      </c>
      <c r="AL80" t="s">
        <v>83</v>
      </c>
      <c r="AM80" t="s">
        <v>84</v>
      </c>
      <c r="AN80" t="s">
        <v>82</v>
      </c>
      <c r="AO80" t="s">
        <v>365</v>
      </c>
      <c r="AP80" s="1">
        <v>43160</v>
      </c>
      <c r="AQ80" t="str">
        <f>"MANAGER IT"</f>
        <v>MANAGER IT</v>
      </c>
      <c r="AR80" t="str">
        <f>"15-1199"</f>
        <v>15-1199</v>
      </c>
      <c r="AS80" t="str">
        <f>"Computer Occupations, All Other"</f>
        <v>Computer Occupations, All Other</v>
      </c>
      <c r="AT80" t="str">
        <f>"DIRECTOR IT"</f>
        <v>DIRECTOR IT</v>
      </c>
      <c r="AU80" t="s">
        <v>82</v>
      </c>
      <c r="AV80" t="str">
        <f>"5"</f>
        <v>5</v>
      </c>
      <c r="AW80" t="str">
        <f>"Subordinate"</f>
        <v>Subordinate</v>
      </c>
      <c r="AX80" t="s">
        <v>83</v>
      </c>
      <c r="AY80" t="str">
        <f>""</f>
        <v/>
      </c>
      <c r="AZ80" t="s">
        <v>93</v>
      </c>
      <c r="BB80" t="s">
        <v>366</v>
      </c>
      <c r="BC80" t="s">
        <v>83</v>
      </c>
      <c r="BE80" t="s">
        <v>83</v>
      </c>
      <c r="BH80" t="s">
        <v>82</v>
      </c>
      <c r="BI80">
        <v>36</v>
      </c>
      <c r="BJ80" t="s">
        <v>366</v>
      </c>
      <c r="BK80" t="s">
        <v>367</v>
      </c>
      <c r="BL80" t="str">
        <f>"350 SPECTRUM LOOP"</f>
        <v>350 SPECTRUM LOOP</v>
      </c>
      <c r="BM80" t="str">
        <f>""</f>
        <v/>
      </c>
      <c r="BN80" t="str">
        <f>"COLORADO SPRINGS"</f>
        <v>COLORADO SPRINGS</v>
      </c>
      <c r="BO80" t="s">
        <v>368</v>
      </c>
      <c r="BP80" t="s">
        <v>98</v>
      </c>
      <c r="BQ80" s="7" t="str">
        <f>"80921"</f>
        <v>80921</v>
      </c>
      <c r="BR80" t="s">
        <v>83</v>
      </c>
      <c r="BS80" t="str">
        <f>""</f>
        <v/>
      </c>
    </row>
    <row r="81" spans="1:71" ht="15" customHeight="1" x14ac:dyDescent="0.25">
      <c r="A81" t="s">
        <v>361</v>
      </c>
      <c r="B81" t="s">
        <v>80</v>
      </c>
      <c r="C81" s="1">
        <v>43390</v>
      </c>
      <c r="G81" s="1">
        <v>45617</v>
      </c>
      <c r="H81" t="s">
        <v>81</v>
      </c>
      <c r="I81" t="str">
        <f>"BENCHETRIT"</f>
        <v>BENCHETRIT</v>
      </c>
      <c r="J81" t="str">
        <f>"MICHAEL"</f>
        <v>MICHAEL</v>
      </c>
      <c r="K81" t="str">
        <f>"M."</f>
        <v>M.</v>
      </c>
      <c r="L81" t="str">
        <f>"Attroney"</f>
        <v>Attroney</v>
      </c>
      <c r="M81" t="str">
        <f>"12 CHRISTOPHER WAY"</f>
        <v>12 CHRISTOPHER WAY</v>
      </c>
      <c r="N81" t="str">
        <f>"SUITE 102"</f>
        <v>SUITE 102</v>
      </c>
      <c r="O81" t="str">
        <f>"EATONTOWN"</f>
        <v>EATONTOWN</v>
      </c>
      <c r="P81" t="str">
        <f>"NJ"</f>
        <v>NJ</v>
      </c>
      <c r="Q81" s="7" t="str">
        <f>"07724"</f>
        <v>07724</v>
      </c>
      <c r="R81" t="str">
        <f t="shared" si="7"/>
        <v>UNITED STATES OF AMERICA</v>
      </c>
      <c r="S81" t="str">
        <f>""</f>
        <v/>
      </c>
      <c r="T81" s="7" t="str">
        <f>"305-998-1732"</f>
        <v>305-998-1732</v>
      </c>
      <c r="U81" t="str">
        <f>"107"</f>
        <v>107</v>
      </c>
      <c r="V81" s="9" t="str">
        <f>"917-591-7169"</f>
        <v>917-591-7169</v>
      </c>
      <c r="W81" t="str">
        <f>"Mbenchetrit@BHLG.COM"</f>
        <v>Mbenchetrit@BHLG.COM</v>
      </c>
      <c r="X81" t="str">
        <f>"RMED LLC"</f>
        <v>RMED LLC</v>
      </c>
      <c r="Y81" t="str">
        <f>"VISITING PHYSICIANS ASSOCIATION"</f>
        <v>VISITING PHYSICIANS ASSOCIATION</v>
      </c>
      <c r="Z81" t="str">
        <f>"500 KIRTS BLVD"</f>
        <v>500 KIRTS BLVD</v>
      </c>
      <c r="AA81" t="str">
        <f>"N/A"</f>
        <v>N/A</v>
      </c>
      <c r="AB81" t="str">
        <f>"TROY"</f>
        <v>TROY</v>
      </c>
      <c r="AC81" t="str">
        <f>"MI"</f>
        <v>MI</v>
      </c>
      <c r="AD81" s="7" t="str">
        <f>"48084"</f>
        <v>48084</v>
      </c>
      <c r="AE81" t="str">
        <f t="shared" si="6"/>
        <v>UNITED STATES OF AMERICA</v>
      </c>
      <c r="AF81" t="str">
        <f>""</f>
        <v/>
      </c>
      <c r="AG81" s="9" t="str">
        <f>"248-824-6406"</f>
        <v>248-824-6406</v>
      </c>
      <c r="AH81" t="str">
        <f>""</f>
        <v/>
      </c>
      <c r="AI81" t="str">
        <f>"311733889"</f>
        <v>311733889</v>
      </c>
      <c r="AJ81" t="str">
        <f>"6211"</f>
        <v>6211</v>
      </c>
      <c r="AK81" t="s">
        <v>83</v>
      </c>
      <c r="AL81" t="s">
        <v>83</v>
      </c>
      <c r="AM81" t="s">
        <v>84</v>
      </c>
      <c r="AN81" t="s">
        <v>83</v>
      </c>
      <c r="AQ81" t="str">
        <f>"RESIDENTIAL CARE PHYSICIAN"</f>
        <v>RESIDENTIAL CARE PHYSICIAN</v>
      </c>
      <c r="AR81" t="str">
        <f>"29-1062"</f>
        <v>29-1062</v>
      </c>
      <c r="AS81" t="str">
        <f>"Family and General Practitioners"</f>
        <v>Family and General Practitioners</v>
      </c>
      <c r="AT81" t="str">
        <f>"N/A"</f>
        <v>N/A</v>
      </c>
      <c r="AU81" t="s">
        <v>83</v>
      </c>
      <c r="AV81" t="str">
        <f>""</f>
        <v/>
      </c>
      <c r="AW81" t="str">
        <f>"None"</f>
        <v>None</v>
      </c>
      <c r="AX81" t="s">
        <v>83</v>
      </c>
      <c r="AY81" t="str">
        <f>""</f>
        <v/>
      </c>
      <c r="AZ81" t="s">
        <v>86</v>
      </c>
      <c r="BA81" t="s">
        <v>87</v>
      </c>
      <c r="BB81" t="s">
        <v>88</v>
      </c>
      <c r="BC81" t="s">
        <v>83</v>
      </c>
      <c r="BE81" t="s">
        <v>83</v>
      </c>
      <c r="BH81" t="s">
        <v>83</v>
      </c>
      <c r="BK81" s="2" t="s">
        <v>362</v>
      </c>
      <c r="BL81" t="str">
        <f>"950 South Pine Island Rd."</f>
        <v>950 South Pine Island Rd.</v>
      </c>
      <c r="BM81" t="str">
        <f>"Suite A-150, Office 1010"</f>
        <v>Suite A-150, Office 1010</v>
      </c>
      <c r="BN81" t="str">
        <f>"Fort Lauderdale"</f>
        <v>Fort Lauderdale</v>
      </c>
      <c r="BO81" t="s">
        <v>363</v>
      </c>
      <c r="BP81" t="s">
        <v>175</v>
      </c>
      <c r="BQ81" s="7" t="str">
        <f>"33324"</f>
        <v>33324</v>
      </c>
      <c r="BR81" t="s">
        <v>83</v>
      </c>
      <c r="BS81" t="str">
        <f>""</f>
        <v/>
      </c>
    </row>
    <row r="82" spans="1:71" ht="15" customHeight="1" x14ac:dyDescent="0.25">
      <c r="A82" t="s">
        <v>356</v>
      </c>
      <c r="B82" t="s">
        <v>80</v>
      </c>
      <c r="C82" s="1">
        <v>43388</v>
      </c>
      <c r="G82" s="1">
        <v>45617</v>
      </c>
      <c r="H82" t="s">
        <v>81</v>
      </c>
      <c r="I82" t="str">
        <f>"Nesteruk"</f>
        <v>Nesteruk</v>
      </c>
      <c r="J82" t="str">
        <f>"Ian"</f>
        <v>Ian</v>
      </c>
      <c r="K82" t="str">
        <f>"Anthony"</f>
        <v>Anthony</v>
      </c>
      <c r="L82" t="str">
        <f>"Attorney"</f>
        <v>Attorney</v>
      </c>
      <c r="M82" t="str">
        <f>"Dickinson Wright PLLC"</f>
        <v>Dickinson Wright PLLC</v>
      </c>
      <c r="N82" t="str">
        <f>"1850 North Central Avenue, Suite 1400"</f>
        <v>1850 North Central Avenue, Suite 1400</v>
      </c>
      <c r="O82" t="str">
        <f>"Phoenix"</f>
        <v>Phoenix</v>
      </c>
      <c r="P82" t="str">
        <f>"AZ"</f>
        <v>AZ</v>
      </c>
      <c r="Q82" s="7" t="str">
        <f>"85004"</f>
        <v>85004</v>
      </c>
      <c r="R82" t="str">
        <f t="shared" si="7"/>
        <v>UNITED STATES OF AMERICA</v>
      </c>
      <c r="S82" t="str">
        <f>"N/A"</f>
        <v>N/A</v>
      </c>
      <c r="T82" s="7" t="str">
        <f>"602-889-5358"</f>
        <v>602-889-5358</v>
      </c>
      <c r="U82" t="str">
        <f>""</f>
        <v/>
      </c>
      <c r="V82" s="9" t="str">
        <f>"844-670-6009"</f>
        <v>844-670-6009</v>
      </c>
      <c r="W82" t="str">
        <f>"inesteruk@dickinsonwright.com"</f>
        <v>inesteruk@dickinsonwright.com</v>
      </c>
      <c r="X82" t="str">
        <f>"ASML US, LP"</f>
        <v>ASML US, LP</v>
      </c>
      <c r="Y82" t="str">
        <f>"N/A"</f>
        <v>N/A</v>
      </c>
      <c r="Z82" t="str">
        <f>"2650 West Geronimo Place"</f>
        <v>2650 West Geronimo Place</v>
      </c>
      <c r="AA82" t="str">
        <f>"N/A"</f>
        <v>N/A</v>
      </c>
      <c r="AB82" t="str">
        <f>"Chandler"</f>
        <v>Chandler</v>
      </c>
      <c r="AC82" t="str">
        <f>"AZ"</f>
        <v>AZ</v>
      </c>
      <c r="AD82" s="7" t="str">
        <f>"85224"</f>
        <v>85224</v>
      </c>
      <c r="AE82" t="str">
        <f t="shared" si="6"/>
        <v>UNITED STATES OF AMERICA</v>
      </c>
      <c r="AF82" t="str">
        <f>"N/A"</f>
        <v>N/A</v>
      </c>
      <c r="AG82" s="9" t="str">
        <f>"480-696-2852"</f>
        <v>480-696-2852</v>
      </c>
      <c r="AH82" t="str">
        <f>""</f>
        <v/>
      </c>
      <c r="AI82" t="str">
        <f>"822530621"</f>
        <v>822530621</v>
      </c>
      <c r="AJ82" t="str">
        <f>"333295"</f>
        <v>333295</v>
      </c>
      <c r="AK82" t="s">
        <v>83</v>
      </c>
      <c r="AL82" t="s">
        <v>83</v>
      </c>
      <c r="AM82" t="s">
        <v>84</v>
      </c>
      <c r="AN82" t="s">
        <v>83</v>
      </c>
      <c r="AQ82" t="str">
        <f>"Architect 2"</f>
        <v>Architect 2</v>
      </c>
      <c r="AR82" t="str">
        <f>"17-2199"</f>
        <v>17-2199</v>
      </c>
      <c r="AS82" t="str">
        <f>"Engineers, All Other"</f>
        <v>Engineers, All Other</v>
      </c>
      <c r="AT82" t="str">
        <f>"N/A"</f>
        <v>N/A</v>
      </c>
      <c r="AU82" t="s">
        <v>82</v>
      </c>
      <c r="AV82" t="str">
        <f>"20"</f>
        <v>20</v>
      </c>
      <c r="AW82" t="str">
        <f>"Peer"</f>
        <v>Peer</v>
      </c>
      <c r="AX82" t="s">
        <v>82</v>
      </c>
      <c r="AY82" t="str">
        <f>"Approximately 15% travel to Europe, Asia and within the United States can be expected."</f>
        <v>Approximately 15% travel to Europe, Asia and within the United States can be expected.</v>
      </c>
      <c r="AZ82" t="s">
        <v>114</v>
      </c>
      <c r="BA82" t="s">
        <v>84</v>
      </c>
      <c r="BB82" t="s">
        <v>357</v>
      </c>
      <c r="BC82" t="s">
        <v>83</v>
      </c>
      <c r="BE82" t="s">
        <v>83</v>
      </c>
      <c r="BH82" t="s">
        <v>83</v>
      </c>
      <c r="BK82" t="s">
        <v>358</v>
      </c>
      <c r="BL82" t="str">
        <f>"77 Danbury Road"</f>
        <v>77 Danbury Road</v>
      </c>
      <c r="BM82" t="str">
        <f>"N/A"</f>
        <v>N/A</v>
      </c>
      <c r="BN82" t="str">
        <f>"Wilton"</f>
        <v>Wilton</v>
      </c>
      <c r="BO82" t="s">
        <v>359</v>
      </c>
      <c r="BP82" t="s">
        <v>360</v>
      </c>
      <c r="BQ82" s="7" t="str">
        <f>"06897"</f>
        <v>06897</v>
      </c>
      <c r="BR82" t="s">
        <v>83</v>
      </c>
      <c r="BS82" t="str">
        <f>""</f>
        <v/>
      </c>
    </row>
    <row r="83" spans="1:71" ht="15" customHeight="1" x14ac:dyDescent="0.25">
      <c r="A83" t="s">
        <v>352</v>
      </c>
      <c r="B83" t="s">
        <v>80</v>
      </c>
      <c r="C83" s="1">
        <v>43378</v>
      </c>
      <c r="G83" s="1">
        <v>45617</v>
      </c>
      <c r="H83" t="s">
        <v>81</v>
      </c>
      <c r="I83" t="str">
        <f>"HASHEMI"</f>
        <v>HASHEMI</v>
      </c>
      <c r="J83" t="str">
        <f>"ELHAAM"</f>
        <v>ELHAAM</v>
      </c>
      <c r="K83" t="str">
        <f>"N/A"</f>
        <v>N/A</v>
      </c>
      <c r="L83" t="str">
        <f>"Attorney"</f>
        <v>Attorney</v>
      </c>
      <c r="M83" t="str">
        <f>"626 33RD AVENUE"</f>
        <v>626 33RD AVENUE</v>
      </c>
      <c r="N83" t="str">
        <f>"#10"</f>
        <v>#10</v>
      </c>
      <c r="O83" t="str">
        <f>"SAN FRANCISCO"</f>
        <v>SAN FRANCISCO</v>
      </c>
      <c r="P83" t="str">
        <f>"CA"</f>
        <v>CA</v>
      </c>
      <c r="Q83" s="7" t="str">
        <f>"94121"</f>
        <v>94121</v>
      </c>
      <c r="R83" t="str">
        <f t="shared" si="7"/>
        <v>UNITED STATES OF AMERICA</v>
      </c>
      <c r="S83" t="str">
        <f>""</f>
        <v/>
      </c>
      <c r="T83" s="7" t="str">
        <f>"415-516-9887"</f>
        <v>415-516-9887</v>
      </c>
      <c r="U83" t="str">
        <f>""</f>
        <v/>
      </c>
      <c r="V83" s="9" t="str">
        <f>""</f>
        <v/>
      </c>
      <c r="W83" t="str">
        <f>"EHASHEMI@SFIMMIGRATIONLAW.COM"</f>
        <v>EHASHEMI@SFIMMIGRATIONLAW.COM</v>
      </c>
      <c r="X83" t="str">
        <f>"MCCLUREIDENCE OPCO, LLC"</f>
        <v>MCCLUREIDENCE OPCO, LLC</v>
      </c>
      <c r="Y83" t="str">
        <f>"Providence McClure"</f>
        <v>Providence McClure</v>
      </c>
      <c r="Z83" t="str">
        <f>"2910 McClure Street"</f>
        <v>2910 McClure Street</v>
      </c>
      <c r="AA83" t="str">
        <f>""</f>
        <v/>
      </c>
      <c r="AB83" t="str">
        <f>"Oakland"</f>
        <v>Oakland</v>
      </c>
      <c r="AC83" t="str">
        <f>"CA"</f>
        <v>CA</v>
      </c>
      <c r="AD83" s="7" t="str">
        <f>"94609"</f>
        <v>94609</v>
      </c>
      <c r="AE83" t="str">
        <f t="shared" si="6"/>
        <v>UNITED STATES OF AMERICA</v>
      </c>
      <c r="AF83" t="str">
        <f>""</f>
        <v/>
      </c>
      <c r="AG83" s="9" t="str">
        <f>"510-836-3677"</f>
        <v>510-836-3677</v>
      </c>
      <c r="AH83" t="str">
        <f>""</f>
        <v/>
      </c>
      <c r="AI83" t="str">
        <f>"472042891"</f>
        <v>472042891</v>
      </c>
      <c r="AJ83" t="str">
        <f>"6231"</f>
        <v>6231</v>
      </c>
      <c r="AK83" t="s">
        <v>83</v>
      </c>
      <c r="AL83" t="s">
        <v>83</v>
      </c>
      <c r="AM83" t="s">
        <v>84</v>
      </c>
      <c r="AN83" t="s">
        <v>83</v>
      </c>
      <c r="AQ83" t="str">
        <f>"Director of Dietary Services"</f>
        <v>Director of Dietary Services</v>
      </c>
      <c r="AR83" t="str">
        <f>"19-1012"</f>
        <v>19-1012</v>
      </c>
      <c r="AS83" t="str">
        <f>"Food Scientists and Technologists"</f>
        <v>Food Scientists and Technologists</v>
      </c>
      <c r="AT83" t="str">
        <f>"Administrator"</f>
        <v>Administrator</v>
      </c>
      <c r="AU83" t="s">
        <v>82</v>
      </c>
      <c r="AV83" t="str">
        <f>"7"</f>
        <v>7</v>
      </c>
      <c r="AW83" t="str">
        <f>"Subordinate"</f>
        <v>Subordinate</v>
      </c>
      <c r="AX83" t="s">
        <v>83</v>
      </c>
      <c r="AY83" t="str">
        <f>""</f>
        <v/>
      </c>
      <c r="AZ83" t="s">
        <v>107</v>
      </c>
      <c r="BB83" t="s">
        <v>353</v>
      </c>
      <c r="BC83" t="s">
        <v>83</v>
      </c>
      <c r="BE83" t="s">
        <v>83</v>
      </c>
      <c r="BH83" t="s">
        <v>82</v>
      </c>
      <c r="BI83">
        <v>12</v>
      </c>
      <c r="BJ83" t="s">
        <v>354</v>
      </c>
      <c r="BK83" t="s">
        <v>123</v>
      </c>
      <c r="BL83" t="str">
        <f>"2910 McClure Street"</f>
        <v>2910 McClure Street</v>
      </c>
      <c r="BM83" t="str">
        <f>""</f>
        <v/>
      </c>
      <c r="BN83" t="str">
        <f>"Oakland"</f>
        <v>Oakland</v>
      </c>
      <c r="BO83" t="s">
        <v>355</v>
      </c>
      <c r="BP83" t="s">
        <v>153</v>
      </c>
      <c r="BQ83" s="7" t="str">
        <f>"94609"</f>
        <v>94609</v>
      </c>
      <c r="BR83" t="s">
        <v>83</v>
      </c>
      <c r="BS83" t="str">
        <f>""</f>
        <v/>
      </c>
    </row>
    <row r="84" spans="1:71" ht="15" customHeight="1" x14ac:dyDescent="0.25">
      <c r="A84" t="s">
        <v>350</v>
      </c>
      <c r="B84" t="s">
        <v>80</v>
      </c>
      <c r="C84" s="1">
        <v>43377</v>
      </c>
      <c r="G84" s="1">
        <v>45617</v>
      </c>
      <c r="H84" t="s">
        <v>81</v>
      </c>
      <c r="I84" t="str">
        <f>"PARKER/385.22346/az"</f>
        <v>PARKER/385.22346/az</v>
      </c>
      <c r="J84" t="str">
        <f>"STEPHEN"</f>
        <v>STEPHEN</v>
      </c>
      <c r="K84" t="str">
        <f>"D"</f>
        <v>D</v>
      </c>
      <c r="L84" t="str">
        <f>"Attorney"</f>
        <v>Attorney</v>
      </c>
      <c r="M84" t="str">
        <f>"100 PRINGLE AVE."</f>
        <v>100 PRINGLE AVE.</v>
      </c>
      <c r="N84" t="str">
        <f>"SUITE 300"</f>
        <v>SUITE 300</v>
      </c>
      <c r="O84" t="str">
        <f>"WALNUT CREEK"</f>
        <v>WALNUT CREEK</v>
      </c>
      <c r="P84" t="str">
        <f>"CA"</f>
        <v>CA</v>
      </c>
      <c r="Q84" s="7" t="str">
        <f>"94596"</f>
        <v>94596</v>
      </c>
      <c r="R84" t="str">
        <f t="shared" si="7"/>
        <v>UNITED STATES OF AMERICA</v>
      </c>
      <c r="S84" t="str">
        <f>""</f>
        <v/>
      </c>
      <c r="T84" s="7" t="str">
        <f>"925-378-6224"</f>
        <v>925-378-6224</v>
      </c>
      <c r="U84" t="str">
        <f>""</f>
        <v/>
      </c>
      <c r="V84" s="9" t="str">
        <f>"925-378-6250"</f>
        <v>925-378-6250</v>
      </c>
      <c r="W84" t="str">
        <f>"SPARKER@BALGLOBAL.COM"</f>
        <v>SPARKER@BALGLOBAL.COM</v>
      </c>
      <c r="X84" t="str">
        <f>"ORACLE AMERICA, INC."</f>
        <v>ORACLE AMERICA, INC.</v>
      </c>
      <c r="Y84" t="str">
        <f>""</f>
        <v/>
      </c>
      <c r="Z84" t="str">
        <f>"500 ORACLE PARKWAY"</f>
        <v>500 ORACLE PARKWAY</v>
      </c>
      <c r="AA84" t="str">
        <f>""</f>
        <v/>
      </c>
      <c r="AB84" t="str">
        <f>"REDWOOD SHORES"</f>
        <v>REDWOOD SHORES</v>
      </c>
      <c r="AC84" t="str">
        <f>"CA"</f>
        <v>CA</v>
      </c>
      <c r="AD84" s="7" t="str">
        <f>"94065"</f>
        <v>94065</v>
      </c>
      <c r="AE84" t="str">
        <f t="shared" si="6"/>
        <v>UNITED STATES OF AMERICA</v>
      </c>
      <c r="AF84" t="str">
        <f>""</f>
        <v/>
      </c>
      <c r="AG84" s="9" t="str">
        <f>"650-506-7000"</f>
        <v>650-506-7000</v>
      </c>
      <c r="AH84" t="str">
        <f>""</f>
        <v/>
      </c>
      <c r="AI84" t="str">
        <f>"942805249"</f>
        <v>942805249</v>
      </c>
      <c r="AJ84" t="str">
        <f>"511210"</f>
        <v>511210</v>
      </c>
      <c r="AK84" t="s">
        <v>83</v>
      </c>
      <c r="AL84" t="s">
        <v>83</v>
      </c>
      <c r="AM84" t="s">
        <v>84</v>
      </c>
      <c r="AN84" t="s">
        <v>83</v>
      </c>
      <c r="AQ84" t="str">
        <f>"Software Developer"</f>
        <v>Software Developer</v>
      </c>
      <c r="AR84" t="str">
        <f>"15-1133"</f>
        <v>15-1133</v>
      </c>
      <c r="AS84" t="str">
        <f>"Software Developers, Systems Software"</f>
        <v>Software Developers, Systems Software</v>
      </c>
      <c r="AT84" t="str">
        <f>""</f>
        <v/>
      </c>
      <c r="AU84" t="s">
        <v>83</v>
      </c>
      <c r="AV84" t="str">
        <f>""</f>
        <v/>
      </c>
      <c r="AW84" t="str">
        <f>"None"</f>
        <v>None</v>
      </c>
      <c r="AX84" t="s">
        <v>83</v>
      </c>
      <c r="AY84" t="str">
        <f>""</f>
        <v/>
      </c>
      <c r="AZ84" t="s">
        <v>107</v>
      </c>
      <c r="BB84" t="s">
        <v>344</v>
      </c>
      <c r="BC84" t="s">
        <v>83</v>
      </c>
      <c r="BE84" t="s">
        <v>83</v>
      </c>
      <c r="BH84" t="s">
        <v>82</v>
      </c>
      <c r="BI84">
        <v>48</v>
      </c>
      <c r="BJ84" t="s">
        <v>344</v>
      </c>
      <c r="BK84" t="s">
        <v>344</v>
      </c>
      <c r="BL84" t="str">
        <f>"500 Eldorado Boulevard, Building 6"</f>
        <v>500 Eldorado Boulevard, Building 6</v>
      </c>
      <c r="BM84" t="str">
        <f>""</f>
        <v/>
      </c>
      <c r="BN84" t="str">
        <f>"Broomfield"</f>
        <v>Broomfield</v>
      </c>
      <c r="BO84" t="s">
        <v>351</v>
      </c>
      <c r="BP84" t="s">
        <v>98</v>
      </c>
      <c r="BQ84" s="7" t="str">
        <f>"80021"</f>
        <v>80021</v>
      </c>
      <c r="BR84" t="s">
        <v>83</v>
      </c>
      <c r="BS84" t="str">
        <f>""</f>
        <v/>
      </c>
    </row>
    <row r="85" spans="1:71" ht="15" customHeight="1" x14ac:dyDescent="0.25">
      <c r="A85" t="s">
        <v>346</v>
      </c>
      <c r="B85" t="s">
        <v>80</v>
      </c>
      <c r="C85" s="1">
        <v>43348</v>
      </c>
      <c r="G85" s="1">
        <v>45617</v>
      </c>
      <c r="H85" t="s">
        <v>100</v>
      </c>
      <c r="I85" t="str">
        <f>"STEPHENS"</f>
        <v>STEPHENS</v>
      </c>
      <c r="J85" t="str">
        <f>"MARTA"</f>
        <v>MARTA</v>
      </c>
      <c r="K85" t="str">
        <f>"ALICIA"</f>
        <v>ALICIA</v>
      </c>
      <c r="L85" t="str">
        <f>"HUMAN RESOURCES PROGRAM COORDINATOR"</f>
        <v>HUMAN RESOURCES PROGRAM COORDINATOR</v>
      </c>
      <c r="M85" t="str">
        <f>"2000 W UNIVERSITY AVENUE"</f>
        <v>2000 W UNIVERSITY AVENUE</v>
      </c>
      <c r="N85" t="str">
        <f>""</f>
        <v/>
      </c>
      <c r="O85" t="str">
        <f>"MUNCIE"</f>
        <v>MUNCIE</v>
      </c>
      <c r="P85" t="str">
        <f>"IN"</f>
        <v>IN</v>
      </c>
      <c r="Q85" s="7" t="str">
        <f>"47306"</f>
        <v>47306</v>
      </c>
      <c r="R85" t="str">
        <f t="shared" si="7"/>
        <v>UNITED STATES OF AMERICA</v>
      </c>
      <c r="S85" t="str">
        <f>""</f>
        <v/>
      </c>
      <c r="T85" s="7" t="str">
        <f>"765-285-1187"</f>
        <v>765-285-1187</v>
      </c>
      <c r="U85" t="str">
        <f>""</f>
        <v/>
      </c>
      <c r="V85" s="9" t="str">
        <f>""</f>
        <v/>
      </c>
      <c r="W85" t="str">
        <f>"MSTEPHEN@BSU.EDU"</f>
        <v>MSTEPHEN@BSU.EDU</v>
      </c>
      <c r="X85" t="str">
        <f>"BALL STATE UNIVERSITY"</f>
        <v>BALL STATE UNIVERSITY</v>
      </c>
      <c r="Y85" t="str">
        <f>""</f>
        <v/>
      </c>
      <c r="Z85" t="str">
        <f>"2000 W UNIVERSITY AVENUE"</f>
        <v>2000 W UNIVERSITY AVENUE</v>
      </c>
      <c r="AA85" t="str">
        <f>""</f>
        <v/>
      </c>
      <c r="AB85" t="str">
        <f>"MUNCIE"</f>
        <v>MUNCIE</v>
      </c>
      <c r="AC85" t="str">
        <f>"IN"</f>
        <v>IN</v>
      </c>
      <c r="AD85" s="7" t="str">
        <f>"47306"</f>
        <v>47306</v>
      </c>
      <c r="AE85" t="str">
        <f t="shared" si="6"/>
        <v>UNITED STATES OF AMERICA</v>
      </c>
      <c r="AF85" t="str">
        <f>""</f>
        <v/>
      </c>
      <c r="AG85" s="9" t="str">
        <f>"765-285-1187"</f>
        <v>765-285-1187</v>
      </c>
      <c r="AH85" t="str">
        <f>""</f>
        <v/>
      </c>
      <c r="AI85" t="str">
        <f>"356000221"</f>
        <v>356000221</v>
      </c>
      <c r="AJ85" t="str">
        <f>"611310"</f>
        <v>611310</v>
      </c>
      <c r="AK85" t="s">
        <v>82</v>
      </c>
      <c r="AL85" t="s">
        <v>83</v>
      </c>
      <c r="AM85" t="s">
        <v>84</v>
      </c>
      <c r="AN85" t="s">
        <v>83</v>
      </c>
      <c r="AQ85" t="str">
        <f>"Assistant Professor of Finance"</f>
        <v>Assistant Professor of Finance</v>
      </c>
      <c r="AR85" t="str">
        <f>"25-1011"</f>
        <v>25-1011</v>
      </c>
      <c r="AS85" t="str">
        <f>"Business Teachers, Postsecondary"</f>
        <v>Business Teachers, Postsecondary</v>
      </c>
      <c r="AT85" t="str">
        <f>"Chair of Department of Finance and Insurance"</f>
        <v>Chair of Department of Finance and Insurance</v>
      </c>
      <c r="AU85" t="s">
        <v>83</v>
      </c>
      <c r="AV85" t="str">
        <f>""</f>
        <v/>
      </c>
      <c r="AW85" t="str">
        <f>"None"</f>
        <v>None</v>
      </c>
      <c r="AX85" t="s">
        <v>83</v>
      </c>
      <c r="AY85" t="str">
        <f>""</f>
        <v/>
      </c>
      <c r="AZ85" t="s">
        <v>114</v>
      </c>
      <c r="BA85" t="s">
        <v>84</v>
      </c>
      <c r="BB85" t="s">
        <v>347</v>
      </c>
      <c r="BC85" t="s">
        <v>83</v>
      </c>
      <c r="BE85" t="s">
        <v>83</v>
      </c>
      <c r="BH85" t="s">
        <v>83</v>
      </c>
      <c r="BK85" t="s">
        <v>348</v>
      </c>
      <c r="BL85" t="str">
        <f>"2000 W. University Avenue"</f>
        <v>2000 W. University Avenue</v>
      </c>
      <c r="BM85" t="str">
        <f>"N/A"</f>
        <v>N/A</v>
      </c>
      <c r="BN85" t="str">
        <f>"Muncie"</f>
        <v>Muncie</v>
      </c>
      <c r="BO85" t="s">
        <v>262</v>
      </c>
      <c r="BP85" t="s">
        <v>345</v>
      </c>
      <c r="BQ85" s="7" t="str">
        <f>"47306"</f>
        <v>47306</v>
      </c>
      <c r="BR85" t="s">
        <v>83</v>
      </c>
      <c r="BS85" t="str">
        <f>""</f>
        <v/>
      </c>
    </row>
    <row r="86" spans="1:71" ht="15" customHeight="1" x14ac:dyDescent="0.25">
      <c r="A86" t="s">
        <v>247</v>
      </c>
      <c r="B86" t="s">
        <v>80</v>
      </c>
      <c r="C86" s="1">
        <v>43921</v>
      </c>
      <c r="G86" s="1">
        <v>45569</v>
      </c>
      <c r="H86" t="s">
        <v>81</v>
      </c>
      <c r="I86" t="str">
        <f>"Galvin"</f>
        <v>Galvin</v>
      </c>
      <c r="J86" t="str">
        <f>"Julie"</f>
        <v>Julie</v>
      </c>
      <c r="K86" t="str">
        <f>"A."</f>
        <v>A.</v>
      </c>
      <c r="L86" t="str">
        <f>"Attorney"</f>
        <v>Attorney</v>
      </c>
      <c r="M86" t="str">
        <f>"75 Federal Street"</f>
        <v>75 Federal Street</v>
      </c>
      <c r="N86" t="str">
        <f>"Suite 210"</f>
        <v>Suite 210</v>
      </c>
      <c r="O86" t="str">
        <f>"Boston"</f>
        <v>Boston</v>
      </c>
      <c r="P86" t="str">
        <f>"MA"</f>
        <v>MA</v>
      </c>
      <c r="Q86" s="7" t="str">
        <f>"02110"</f>
        <v>02110</v>
      </c>
      <c r="R86" t="str">
        <f t="shared" si="7"/>
        <v>UNITED STATES OF AMERICA</v>
      </c>
      <c r="S86" t="str">
        <f>""</f>
        <v/>
      </c>
      <c r="T86" s="7" t="str">
        <f>"16174821775"</f>
        <v>16174821775</v>
      </c>
      <c r="U86" t="str">
        <f>""</f>
        <v/>
      </c>
      <c r="V86" s="9" t="str">
        <f>""</f>
        <v/>
      </c>
      <c r="W86" t="str">
        <f>"jgalvin@chincurtis.com"</f>
        <v>jgalvin@chincurtis.com</v>
      </c>
      <c r="X86" t="str">
        <f>"Akamai Technologies, Inc."</f>
        <v>Akamai Technologies, Inc.</v>
      </c>
      <c r="Y86" t="str">
        <f>""</f>
        <v/>
      </c>
      <c r="Z86" t="str">
        <f>"145 Broadway"</f>
        <v>145 Broadway</v>
      </c>
      <c r="AA86" t="str">
        <f>""</f>
        <v/>
      </c>
      <c r="AB86" t="str">
        <f>"Cambridge"</f>
        <v>Cambridge</v>
      </c>
      <c r="AC86" t="str">
        <f>"MA"</f>
        <v>MA</v>
      </c>
      <c r="AD86" s="7" t="str">
        <f>"02142"</f>
        <v>02142</v>
      </c>
      <c r="AE86" t="str">
        <f t="shared" si="6"/>
        <v>UNITED STATES OF AMERICA</v>
      </c>
      <c r="AF86" t="str">
        <f>""</f>
        <v/>
      </c>
      <c r="AG86" s="9" t="str">
        <f>"16172747153"</f>
        <v>16172747153</v>
      </c>
      <c r="AH86" t="str">
        <f>""</f>
        <v/>
      </c>
      <c r="AI86" t="str">
        <f>"04-3432319"</f>
        <v>04-3432319</v>
      </c>
      <c r="AJ86" t="str">
        <f>"541990"</f>
        <v>541990</v>
      </c>
      <c r="AK86" t="s">
        <v>83</v>
      </c>
      <c r="AL86" t="s">
        <v>83</v>
      </c>
      <c r="AM86" t="s">
        <v>84</v>
      </c>
      <c r="AN86" t="s">
        <v>83</v>
      </c>
      <c r="AQ86" t="str">
        <f>"Senior Technical Account Manager"</f>
        <v>Senior Technical Account Manager</v>
      </c>
      <c r="AR86" t="str">
        <f>"41-9031.00"</f>
        <v>41-9031.00</v>
      </c>
      <c r="AS86" t="str">
        <f>"Sales Engineers"</f>
        <v>Sales Engineers</v>
      </c>
      <c r="AT86" t="str">
        <f>"Manager Solutions Engineer"</f>
        <v>Manager Solutions Engineer</v>
      </c>
      <c r="AU86" t="s">
        <v>83</v>
      </c>
      <c r="AV86" t="str">
        <f>""</f>
        <v/>
      </c>
      <c r="AW86" t="str">
        <f>""</f>
        <v/>
      </c>
      <c r="AX86" t="s">
        <v>82</v>
      </c>
      <c r="AY86" t="str">
        <f>"TECHNICAL ACCOUNT MANAGERS MAY BE REQUIRED TO TRAVEL NATIONALLY UP TO APPROXIMATELY 30% OF THE TIME."</f>
        <v>TECHNICAL ACCOUNT MANAGERS MAY BE REQUIRED TO TRAVEL NATIONALLY UP TO APPROXIMATELY 30% OF THE TIME.</v>
      </c>
      <c r="AZ86" t="s">
        <v>93</v>
      </c>
      <c r="BB86" t="s">
        <v>248</v>
      </c>
      <c r="BC86" t="s">
        <v>83</v>
      </c>
      <c r="BE86" t="s">
        <v>83</v>
      </c>
      <c r="BH86" t="s">
        <v>82</v>
      </c>
      <c r="BI86">
        <v>36</v>
      </c>
      <c r="BJ86" t="s">
        <v>248</v>
      </c>
      <c r="BK86" s="2" t="s">
        <v>249</v>
      </c>
      <c r="BL86" t="str">
        <f>"3355 Scott Boulevard"</f>
        <v>3355 Scott Boulevard</v>
      </c>
      <c r="BM86" t="str">
        <f>""</f>
        <v/>
      </c>
      <c r="BN86" t="str">
        <f>"Santa Clara"</f>
        <v>Santa Clara</v>
      </c>
      <c r="BO86" t="s">
        <v>181</v>
      </c>
      <c r="BP86" t="s">
        <v>153</v>
      </c>
      <c r="BQ86" s="7" t="str">
        <f>"95054"</f>
        <v>95054</v>
      </c>
      <c r="BR86" t="s">
        <v>83</v>
      </c>
      <c r="BS86" t="str">
        <f>""</f>
        <v/>
      </c>
    </row>
  </sheetData>
  <autoFilter ref="A1:CA1" xr:uid="{826F0BE9-5F7F-4BEE-A2B5-6459F339D7AF}"/>
  <sortState xmlns:xlrd2="http://schemas.microsoft.com/office/spreadsheetml/2017/richdata2" ref="A2:CA88">
    <sortCondition descending="1" ref="G1:G8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PW_DISCLOSURE_DATA_OLD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Rob - ETA</cp:lastModifiedBy>
  <dcterms:created xsi:type="dcterms:W3CDTF">2025-04-02T17:40:55Z</dcterms:created>
  <dcterms:modified xsi:type="dcterms:W3CDTF">2025-04-08T18:26:44Z</dcterms:modified>
</cp:coreProperties>
</file>