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8.xml" ContentType="application/vnd.openxmlformats-officedocument.drawingml.chart+xml"/>
  <Override PartName="/xl/charts/style1.xml" ContentType="application/vnd.ms-office.chartstyle+xml"/>
  <Override PartName="/xl/charts/colors1.xml" ContentType="application/vnd.ms-office.chartcolorstyle+xml"/>
  <Override PartName="/xl/charts/chart19.xml" ContentType="application/vnd.openxmlformats-officedocument.drawingml.chart+xml"/>
  <Override PartName="/xl/charts/style2.xml" ContentType="application/vnd.ms-office.chartstyle+xml"/>
  <Override PartName="/xl/charts/colors2.xml" ContentType="application/vnd.ms-office.chartcolorstyle+xml"/>
  <Override PartName="/xl/charts/chart20.xml" ContentType="application/vnd.openxmlformats-officedocument.drawingml.chart+xml"/>
  <Override PartName="/xl/charts/style3.xml" ContentType="application/vnd.ms-office.chartstyle+xml"/>
  <Override PartName="/xl/charts/colors3.xml" ContentType="application/vnd.ms-office.chartcolorstyle+xml"/>
  <Override PartName="/xl/charts/chart21.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aughnCrowther\Utility Dropbox\Utility Projects\Projects\QLDC\J000118 - Water Balance and Leakage\4 - Working Files\"/>
    </mc:Choice>
  </mc:AlternateContent>
  <xr:revisionPtr revIDLastSave="0" documentId="13_ncr:1_{A77C128E-02CB-4261-8D2D-4A2335960FA7}" xr6:coauthVersionLast="47" xr6:coauthVersionMax="47" xr10:uidLastSave="{00000000-0000-0000-0000-000000000000}"/>
  <bookViews>
    <workbookView xWindow="-98" yWindow="-98" windowWidth="20715" windowHeight="13155" tabRatio="563" xr2:uid="{493766C0-8524-4212-856E-9059BB9F3E8C}"/>
  </bookViews>
  <sheets>
    <sheet name="Water Balance" sheetId="1" r:id="rId1"/>
    <sheet name="Council Use" sheetId="6" r:id="rId2"/>
    <sheet name="Connections and SUIPs" sheetId="4" r:id="rId3"/>
    <sheet name="Pipes and Pressure" sheetId="3" r:id="rId4"/>
    <sheet name="Demand Assumptions" sheetId="5" r:id="rId5"/>
    <sheet name="Leakage Estimate" sheetId="7" r:id="rId6"/>
    <sheet name="Leakage Guide" sheetId="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Print_Area" localSheetId="0">'Water Balance'!$A$1:$V$207</definedName>
    <definedName name="Public_Toilet_Demand">'Council Use'!#REF!</definedName>
    <definedName name="Water_Balance">'Water Balance'!$D$1:$P$131</definedName>
    <definedName name="Water_Balance_Data">'Water Balance'!$D$1:$P$132</definedName>
    <definedName name="wrn.AnnPlan._.Print." hidden="1">{#N/A,#N/A,FALSE,"AnnPlan summary";#N/A,#N/A,FALSE,"Fundmix";#N/A,#N/A,FALSE,"Plan rates";#N/A,#N/A,FALSE,"Example summary"}</definedName>
    <definedName name="wrn.File._.print." hidden="1">{#N/A,#N/A,FALSE,"Relativity dump";#N/A,#N/A,FALSE,"Pivot Pickup";#N/A,#N/A,FALSE,"Rate Construction";#N/A,#N/A,FALSE,"Consolidated rates";#N/A,#N/A,FALSE,"AnnPlan summary";#N/A,#N/A,FALSE,"Fundmix";#N/A,#N/A,FALSE,"Numeric rates";#N/A,#N/A,FALSE,"Rate resolution";#N/A,#N/A,FALSE,"Plan rates";#N/A,#N/A,FALSE,"Examples";#N/A,#N/A,FALSE,"Example summary";#N/A,#N/A,FALSE,"Res Stats ";#N/A,#N/A,FALSE,"Rate consistency"}</definedName>
  </definedNames>
  <calcPr calcId="191029"/>
  <pivotCaches>
    <pivotCache cacheId="0"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99" i="1" l="1"/>
  <c r="S98" i="1"/>
  <c r="R6" i="1"/>
  <c r="S74" i="1"/>
  <c r="S72" i="1"/>
  <c r="S71" i="1"/>
  <c r="S70" i="1"/>
  <c r="S97" i="1"/>
  <c r="S85" i="1"/>
  <c r="S86" i="1"/>
  <c r="S89" i="1"/>
  <c r="S84" i="1"/>
  <c r="S83" i="1"/>
  <c r="S58" i="1"/>
  <c r="S59" i="1"/>
  <c r="S60" i="1"/>
  <c r="S62" i="1"/>
  <c r="S63" i="1"/>
  <c r="S64" i="1"/>
  <c r="S65" i="1"/>
  <c r="S6" i="1"/>
  <c r="S5" i="1"/>
  <c r="P29" i="5"/>
  <c r="Q6" i="1"/>
  <c r="R76" i="1"/>
  <c r="R69" i="1"/>
  <c r="S69" i="1" s="1"/>
  <c r="R68" i="1"/>
  <c r="S68" i="1" s="1"/>
  <c r="R63" i="1"/>
  <c r="R62" i="1"/>
  <c r="R97" i="1" s="1"/>
  <c r="R61" i="1"/>
  <c r="R60" i="1"/>
  <c r="R59" i="1"/>
  <c r="R58" i="1"/>
  <c r="R57" i="1"/>
  <c r="S57" i="1" s="1"/>
  <c r="R5" i="1"/>
  <c r="Q76" i="1"/>
  <c r="Q69" i="1"/>
  <c r="Q68" i="1"/>
  <c r="Q63" i="1"/>
  <c r="Q62" i="1"/>
  <c r="Q61" i="1"/>
  <c r="S61" i="1" s="1"/>
  <c r="Q60" i="1"/>
  <c r="Q59" i="1"/>
  <c r="Q58" i="1"/>
  <c r="Q57" i="1"/>
  <c r="Q5" i="1"/>
  <c r="P40" i="5" s="1"/>
  <c r="E44" i="7"/>
  <c r="E38" i="7"/>
  <c r="E30" i="7"/>
  <c r="E19" i="7"/>
  <c r="E14" i="7"/>
  <c r="F14" i="7"/>
  <c r="G14" i="7"/>
  <c r="H14" i="7"/>
  <c r="I14" i="7"/>
  <c r="E17" i="7"/>
  <c r="G17" i="7"/>
  <c r="H17" i="7"/>
  <c r="I17" i="7"/>
  <c r="G19" i="7"/>
  <c r="H19" i="7"/>
  <c r="I19" i="7"/>
  <c r="G30" i="7"/>
  <c r="H30" i="7"/>
  <c r="I30" i="7"/>
  <c r="G38" i="7"/>
  <c r="H38" i="7"/>
  <c r="I38" i="7"/>
  <c r="G44" i="7"/>
  <c r="G45" i="7" s="1"/>
  <c r="H44" i="7"/>
  <c r="I44" i="7"/>
  <c r="J44" i="7"/>
  <c r="K44" i="7"/>
  <c r="E48" i="7"/>
  <c r="G48" i="7"/>
  <c r="H48" i="7"/>
  <c r="E58" i="7"/>
  <c r="G58" i="7"/>
  <c r="H58" i="7"/>
  <c r="H59" i="7" s="1"/>
  <c r="I58" i="7"/>
  <c r="F59" i="7"/>
  <c r="G59" i="7"/>
  <c r="I59" i="7"/>
  <c r="F60" i="7"/>
  <c r="L44" i="7"/>
  <c r="G7" i="1"/>
  <c r="C61" i="5"/>
  <c r="S66" i="1" l="1"/>
  <c r="Q73" i="1"/>
  <c r="P38" i="5"/>
  <c r="Q88" i="1"/>
  <c r="Q94" i="1" s="1"/>
  <c r="Q97" i="1"/>
  <c r="R87" i="1"/>
  <c r="P39" i="5"/>
  <c r="Q87" i="1"/>
  <c r="Q93" i="1" s="1"/>
  <c r="R88" i="1"/>
  <c r="R73" i="1"/>
  <c r="R9" i="1"/>
  <c r="S9" i="1" s="1"/>
  <c r="S106" i="1" s="1"/>
  <c r="R66" i="1"/>
  <c r="Q77" i="1"/>
  <c r="Q75" i="1"/>
  <c r="Q115" i="1"/>
  <c r="Q9" i="1"/>
  <c r="Q66" i="1"/>
  <c r="E59" i="7"/>
  <c r="I45" i="7"/>
  <c r="E45" i="7"/>
  <c r="E60" i="7" s="1"/>
  <c r="H45" i="7"/>
  <c r="G60" i="7"/>
  <c r="H60" i="7"/>
  <c r="I60" i="7"/>
  <c r="G74" i="1"/>
  <c r="P69" i="1"/>
  <c r="O69" i="1"/>
  <c r="N69" i="1"/>
  <c r="M69" i="1"/>
  <c r="L69" i="1"/>
  <c r="J69" i="1"/>
  <c r="I69" i="1"/>
  <c r="H69" i="1"/>
  <c r="P68" i="1"/>
  <c r="O68" i="1"/>
  <c r="N68" i="1"/>
  <c r="M68" i="1"/>
  <c r="L68" i="1"/>
  <c r="J68" i="1"/>
  <c r="I68" i="1"/>
  <c r="H68" i="1"/>
  <c r="G69" i="1"/>
  <c r="G68" i="1"/>
  <c r="R94" i="1" l="1"/>
  <c r="S88" i="1"/>
  <c r="S141" i="1" s="1"/>
  <c r="R93" i="1"/>
  <c r="S87" i="1"/>
  <c r="R115" i="1"/>
  <c r="R116" i="1" s="1"/>
  <c r="S73" i="1"/>
  <c r="R91" i="1"/>
  <c r="R128" i="1" s="1"/>
  <c r="Q91" i="1"/>
  <c r="Q128" i="1" s="1"/>
  <c r="R141" i="1"/>
  <c r="R75" i="1"/>
  <c r="R77" i="1"/>
  <c r="R106" i="1"/>
  <c r="R98" i="1"/>
  <c r="R138" i="1"/>
  <c r="R140" i="1"/>
  <c r="R119" i="1"/>
  <c r="Q106" i="1"/>
  <c r="Q98" i="1"/>
  <c r="Q99" i="1" s="1"/>
  <c r="Q138" i="1"/>
  <c r="Q116" i="1"/>
  <c r="Q119" i="1"/>
  <c r="Q118" i="1"/>
  <c r="Q117" i="1"/>
  <c r="Q140" i="1"/>
  <c r="Q141" i="1"/>
  <c r="O49" i="7"/>
  <c r="P49" i="7" s="1"/>
  <c r="K39" i="1"/>
  <c r="K40" i="1"/>
  <c r="K41" i="1"/>
  <c r="K48" i="1"/>
  <c r="K49" i="1"/>
  <c r="K50" i="1"/>
  <c r="K51" i="1"/>
  <c r="K47" i="1"/>
  <c r="P63" i="1"/>
  <c r="P62" i="1"/>
  <c r="O63" i="1"/>
  <c r="O62" i="1"/>
  <c r="N63" i="1"/>
  <c r="N62" i="1"/>
  <c r="M63" i="1"/>
  <c r="M62" i="1"/>
  <c r="M97" i="1" s="1"/>
  <c r="L63" i="1"/>
  <c r="L62" i="1"/>
  <c r="I63" i="1"/>
  <c r="I62" i="1"/>
  <c r="H63" i="1"/>
  <c r="H62" i="1"/>
  <c r="C5" i="6"/>
  <c r="C4" i="6"/>
  <c r="P61" i="1"/>
  <c r="O61" i="1"/>
  <c r="N61" i="1"/>
  <c r="M61" i="1"/>
  <c r="L61" i="1"/>
  <c r="J61" i="1"/>
  <c r="I61" i="1"/>
  <c r="H61" i="1"/>
  <c r="P60" i="1"/>
  <c r="O60" i="1"/>
  <c r="N60" i="1"/>
  <c r="M60" i="1"/>
  <c r="L60" i="1"/>
  <c r="J60" i="1"/>
  <c r="I60" i="1"/>
  <c r="H60" i="1"/>
  <c r="P59" i="1"/>
  <c r="O59" i="1"/>
  <c r="N59" i="1"/>
  <c r="N88" i="1" s="1"/>
  <c r="M59" i="1"/>
  <c r="M88" i="1" s="1"/>
  <c r="L59" i="1"/>
  <c r="J59" i="1"/>
  <c r="I59" i="1"/>
  <c r="H59" i="1"/>
  <c r="H88" i="1" s="1"/>
  <c r="P58" i="1"/>
  <c r="O58" i="1"/>
  <c r="M58" i="1"/>
  <c r="L58" i="1"/>
  <c r="J58" i="1"/>
  <c r="H58" i="1"/>
  <c r="P57" i="1"/>
  <c r="O57" i="1"/>
  <c r="M57" i="1"/>
  <c r="L57" i="1"/>
  <c r="J57" i="1"/>
  <c r="H57" i="1"/>
  <c r="G59" i="1"/>
  <c r="G60" i="1"/>
  <c r="G61" i="1"/>
  <c r="G58" i="1"/>
  <c r="G57" i="1"/>
  <c r="N20" i="1"/>
  <c r="N58" i="1" s="1"/>
  <c r="N19" i="1"/>
  <c r="N57" i="1" s="1"/>
  <c r="I20" i="1"/>
  <c r="I58" i="1" s="1"/>
  <c r="I19" i="1"/>
  <c r="I57" i="1" s="1"/>
  <c r="R99" i="1" l="1"/>
  <c r="S142" i="1"/>
  <c r="Q90" i="1"/>
  <c r="Q107" i="1"/>
  <c r="R117" i="1"/>
  <c r="R118" i="1"/>
  <c r="R107" i="1"/>
  <c r="R95" i="1"/>
  <c r="R90" i="1"/>
  <c r="S77" i="1"/>
  <c r="S138" i="1"/>
  <c r="S75" i="1"/>
  <c r="S115" i="1"/>
  <c r="S140" i="1"/>
  <c r="S91" i="1"/>
  <c r="Q95" i="1"/>
  <c r="R108" i="1"/>
  <c r="R111" i="1" s="1"/>
  <c r="R113" i="1" s="1"/>
  <c r="R124" i="1" s="1"/>
  <c r="R125" i="1" s="1"/>
  <c r="R121" i="1"/>
  <c r="R101" i="1"/>
  <c r="R142" i="1"/>
  <c r="R100" i="1"/>
  <c r="Q101" i="1"/>
  <c r="Q142" i="1"/>
  <c r="Q100" i="1"/>
  <c r="Q108" i="1"/>
  <c r="K59" i="1"/>
  <c r="K63" i="1"/>
  <c r="H97" i="1"/>
  <c r="K62" i="1"/>
  <c r="O88" i="1"/>
  <c r="K69" i="1"/>
  <c r="K68" i="1"/>
  <c r="K61" i="1"/>
  <c r="K57" i="1"/>
  <c r="K58" i="1"/>
  <c r="M87" i="1"/>
  <c r="I87" i="1"/>
  <c r="O87" i="1"/>
  <c r="P87" i="1"/>
  <c r="L87" i="1"/>
  <c r="L88" i="1"/>
  <c r="K60" i="1"/>
  <c r="P88" i="1"/>
  <c r="J88" i="1"/>
  <c r="I88" i="1"/>
  <c r="P97" i="1"/>
  <c r="P66" i="1"/>
  <c r="O97" i="1"/>
  <c r="O66" i="1"/>
  <c r="N97" i="1"/>
  <c r="N66" i="1"/>
  <c r="L97" i="1"/>
  <c r="I97" i="1"/>
  <c r="H66" i="1"/>
  <c r="I66" i="1"/>
  <c r="H87" i="1"/>
  <c r="N87" i="1"/>
  <c r="J87" i="1"/>
  <c r="M66" i="1"/>
  <c r="L66" i="1"/>
  <c r="G87" i="1"/>
  <c r="G88" i="1"/>
  <c r="S100" i="1" l="1"/>
  <c r="R114" i="1"/>
  <c r="R129" i="1"/>
  <c r="R143" i="1"/>
  <c r="R112" i="1"/>
  <c r="S119" i="1"/>
  <c r="S116" i="1"/>
  <c r="S117" i="1"/>
  <c r="S118" i="1"/>
  <c r="S101" i="1"/>
  <c r="S107" i="1"/>
  <c r="S108" i="1" s="1"/>
  <c r="S128" i="1"/>
  <c r="S111" i="1"/>
  <c r="R144" i="1"/>
  <c r="R131" i="1"/>
  <c r="R130" i="1"/>
  <c r="Q111" i="1"/>
  <c r="Q143" i="1" s="1"/>
  <c r="Q144" i="1" s="1"/>
  <c r="K97" i="1"/>
  <c r="K88" i="1"/>
  <c r="K87" i="1"/>
  <c r="K66" i="1"/>
  <c r="P76" i="1"/>
  <c r="O76" i="1"/>
  <c r="N76" i="1"/>
  <c r="M76" i="1"/>
  <c r="L76" i="1"/>
  <c r="K76" i="1"/>
  <c r="J76" i="1"/>
  <c r="I76" i="1"/>
  <c r="Q129" i="1" l="1"/>
  <c r="Q131" i="1" s="1"/>
  <c r="S143" i="1"/>
  <c r="S144" i="1" s="1"/>
  <c r="S129" i="1"/>
  <c r="S114" i="1"/>
  <c r="S113" i="1"/>
  <c r="S124" i="1" s="1"/>
  <c r="S125" i="1" s="1"/>
  <c r="S112" i="1"/>
  <c r="Q114" i="1"/>
  <c r="Q113" i="1"/>
  <c r="Q124" i="1" s="1"/>
  <c r="Q125" i="1" s="1"/>
  <c r="Q121" i="1"/>
  <c r="S121" i="1" s="1"/>
  <c r="Q112" i="1"/>
  <c r="H76" i="1"/>
  <c r="G76" i="1"/>
  <c r="G70" i="1"/>
  <c r="I74" i="1"/>
  <c r="H74" i="1"/>
  <c r="M14" i="3"/>
  <c r="M13" i="3"/>
  <c r="M12" i="3"/>
  <c r="M11" i="3"/>
  <c r="M10" i="3"/>
  <c r="M8" i="3"/>
  <c r="M7" i="3"/>
  <c r="M6" i="3"/>
  <c r="M5" i="3"/>
  <c r="E27" i="3"/>
  <c r="E26" i="3"/>
  <c r="E25" i="3"/>
  <c r="E24" i="3"/>
  <c r="E23" i="3"/>
  <c r="E22" i="3"/>
  <c r="E21" i="3"/>
  <c r="E20" i="3"/>
  <c r="E19" i="3"/>
  <c r="O48" i="7"/>
  <c r="P48" i="7" s="1"/>
  <c r="O44" i="7"/>
  <c r="P44" i="7" s="1"/>
  <c r="O38" i="7"/>
  <c r="P38" i="7" s="1"/>
  <c r="O30" i="7"/>
  <c r="P30" i="7" s="1"/>
  <c r="O19" i="7"/>
  <c r="P19" i="7" s="1"/>
  <c r="O17" i="7"/>
  <c r="P17" i="7" s="1"/>
  <c r="O14" i="7"/>
  <c r="P14" i="7" s="1"/>
  <c r="Q130" i="1" l="1"/>
  <c r="S131" i="1"/>
  <c r="S130" i="1"/>
  <c r="O59" i="7"/>
  <c r="O45" i="7"/>
  <c r="P45" i="7" s="1"/>
  <c r="O58" i="7"/>
  <c r="P58" i="7" s="1"/>
  <c r="O60" i="7" l="1"/>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G10" i="1"/>
  <c r="H10" i="1"/>
  <c r="I10" i="1"/>
  <c r="J10" i="1"/>
  <c r="K10" i="1"/>
  <c r="N10" i="1"/>
  <c r="O10" i="1"/>
  <c r="P10" i="1"/>
  <c r="J74" i="1"/>
  <c r="L74" i="1"/>
  <c r="M74" i="1"/>
  <c r="N74" i="1"/>
  <c r="O74" i="1"/>
  <c r="P74" i="1"/>
  <c r="O73" i="1" l="1"/>
  <c r="O115" i="1"/>
  <c r="K74" i="1"/>
  <c r="H178" i="4"/>
  <c r="L73" i="1"/>
  <c r="M15" i="3"/>
  <c r="I73" i="1"/>
  <c r="I115" i="1" s="1"/>
  <c r="G73" i="1"/>
  <c r="G115" i="1" s="1"/>
  <c r="M73" i="1"/>
  <c r="M77" i="1" s="1"/>
  <c r="J73" i="1"/>
  <c r="J115" i="1" s="1"/>
  <c r="M115" i="1" l="1"/>
  <c r="O75" i="1"/>
  <c r="L75" i="1"/>
  <c r="L115" i="1"/>
  <c r="J75" i="1"/>
  <c r="I77" i="1"/>
  <c r="G75" i="1"/>
  <c r="H73" i="1"/>
  <c r="H115" i="1" s="1"/>
  <c r="N73" i="1"/>
  <c r="L77" i="1"/>
  <c r="P73" i="1"/>
  <c r="P115" i="1" s="1"/>
  <c r="I75" i="1"/>
  <c r="J77" i="1"/>
  <c r="G77" i="1"/>
  <c r="O77" i="1"/>
  <c r="M75" i="1"/>
  <c r="K6" i="1"/>
  <c r="K5" i="1"/>
  <c r="N115" i="1" l="1"/>
  <c r="N75" i="1"/>
  <c r="H75" i="1"/>
  <c r="N77" i="1"/>
  <c r="P75" i="1"/>
  <c r="P77" i="1"/>
  <c r="K73" i="1"/>
  <c r="K115" i="1" s="1"/>
  <c r="H77" i="1"/>
  <c r="J40" i="5"/>
  <c r="J39" i="5"/>
  <c r="J38" i="5"/>
  <c r="K9" i="1"/>
  <c r="K11" i="1" l="1"/>
  <c r="K98" i="1"/>
  <c r="K99" i="1" s="1"/>
  <c r="K100" i="1" s="1"/>
  <c r="K106" i="1"/>
  <c r="K75" i="1"/>
  <c r="K77" i="1"/>
  <c r="K141" i="1"/>
  <c r="K142" i="1" l="1"/>
  <c r="O6" i="1"/>
  <c r="Q45" i="7" l="1"/>
  <c r="S45" i="7" s="1"/>
  <c r="P6" i="1"/>
  <c r="N6" i="1"/>
  <c r="J6" i="1"/>
  <c r="I6" i="1"/>
  <c r="H6" i="1"/>
  <c r="G6" i="1"/>
  <c r="Q14" i="7" l="1"/>
  <c r="S14" i="7" s="1"/>
  <c r="Q48" i="7"/>
  <c r="S48" i="7" s="1"/>
  <c r="Q58" i="7"/>
  <c r="S58" i="7" s="1"/>
  <c r="Q17" i="7"/>
  <c r="S17" i="7" s="1"/>
  <c r="Q19" i="7"/>
  <c r="S19" i="7" s="1"/>
  <c r="G35" i="6"/>
  <c r="G28" i="6"/>
  <c r="F29" i="6"/>
  <c r="F34" i="6"/>
  <c r="F35" i="6"/>
  <c r="F36" i="6"/>
  <c r="F28" i="6"/>
  <c r="G15" i="6"/>
  <c r="G16" i="6"/>
  <c r="G17" i="6"/>
  <c r="G18" i="6"/>
  <c r="G19" i="6"/>
  <c r="G20" i="6"/>
  <c r="G21" i="6"/>
  <c r="G22" i="6"/>
  <c r="G14" i="6"/>
  <c r="F15" i="6"/>
  <c r="F16" i="6"/>
  <c r="F17" i="6"/>
  <c r="F18" i="6"/>
  <c r="F19" i="6"/>
  <c r="F20" i="6"/>
  <c r="F21" i="6"/>
  <c r="F22" i="6"/>
  <c r="F14" i="6"/>
  <c r="C7" i="6"/>
  <c r="G29" i="6" s="1"/>
  <c r="C6" i="6"/>
  <c r="F30" i="6" s="1"/>
  <c r="H40" i="6"/>
  <c r="H39" i="6"/>
  <c r="E36" i="6"/>
  <c r="E35" i="6"/>
  <c r="E34" i="6"/>
  <c r="E33" i="6"/>
  <c r="E32" i="6"/>
  <c r="E31" i="6"/>
  <c r="E30" i="6"/>
  <c r="E29" i="6"/>
  <c r="E28" i="6"/>
  <c r="E22" i="6"/>
  <c r="E21" i="6"/>
  <c r="E20" i="6"/>
  <c r="E19" i="6"/>
  <c r="E18" i="6"/>
  <c r="E17" i="6"/>
  <c r="E16" i="6"/>
  <c r="E15" i="6"/>
  <c r="E14" i="6"/>
  <c r="K14" i="3"/>
  <c r="N14" i="3" s="1"/>
  <c r="K13" i="3"/>
  <c r="N13" i="3" s="1"/>
  <c r="K12" i="3"/>
  <c r="N12" i="3" s="1"/>
  <c r="K11" i="3"/>
  <c r="N11" i="3" s="1"/>
  <c r="K10" i="3"/>
  <c r="N10" i="3" s="1"/>
  <c r="K9" i="3"/>
  <c r="K8" i="3"/>
  <c r="N8" i="3" s="1"/>
  <c r="K7" i="3"/>
  <c r="N7" i="3" s="1"/>
  <c r="K6" i="3"/>
  <c r="N6" i="3" s="1"/>
  <c r="K5" i="3"/>
  <c r="H19" i="6" l="1"/>
  <c r="J62" i="1" s="1"/>
  <c r="H21" i="6"/>
  <c r="K15" i="3"/>
  <c r="N5" i="3"/>
  <c r="N15" i="3" s="1"/>
  <c r="G36" i="6"/>
  <c r="F33" i="6"/>
  <c r="F32" i="6"/>
  <c r="H32" i="6" s="1"/>
  <c r="G34" i="6"/>
  <c r="F31" i="6"/>
  <c r="G33" i="6"/>
  <c r="G32" i="6"/>
  <c r="G31" i="6"/>
  <c r="G37" i="6" s="1"/>
  <c r="G30" i="6"/>
  <c r="H28" i="6"/>
  <c r="H15" i="6"/>
  <c r="H18" i="6"/>
  <c r="H17" i="6"/>
  <c r="H22" i="6"/>
  <c r="H30" i="6"/>
  <c r="G63" i="1" s="1"/>
  <c r="H14" i="6"/>
  <c r="H34" i="6"/>
  <c r="H16" i="6"/>
  <c r="H20" i="6"/>
  <c r="H36" i="6"/>
  <c r="H29" i="6"/>
  <c r="H35" i="6"/>
  <c r="F37" i="6" l="1"/>
  <c r="G62" i="1"/>
  <c r="H23" i="6"/>
  <c r="H31" i="6"/>
  <c r="H33" i="6"/>
  <c r="J63" i="1" s="1"/>
  <c r="J97" i="1" s="1"/>
  <c r="H37" i="6"/>
  <c r="J66" i="1" l="1"/>
  <c r="G97" i="1"/>
  <c r="G66" i="1"/>
  <c r="H5" i="1"/>
  <c r="I5" i="1"/>
  <c r="J5" i="1"/>
  <c r="M5" i="1"/>
  <c r="O5" i="1"/>
  <c r="P5" i="1"/>
  <c r="G5" i="1"/>
  <c r="O40" i="5" l="1"/>
  <c r="O38" i="5"/>
  <c r="O39" i="5"/>
  <c r="F38" i="5"/>
  <c r="F39" i="5"/>
  <c r="F40" i="5"/>
  <c r="N40" i="5"/>
  <c r="N39" i="5"/>
  <c r="N38" i="5"/>
  <c r="L40" i="5"/>
  <c r="L39" i="5"/>
  <c r="L38" i="5"/>
  <c r="I38" i="5"/>
  <c r="I39" i="5"/>
  <c r="I40" i="5"/>
  <c r="H38" i="5"/>
  <c r="H40" i="5"/>
  <c r="H39" i="5"/>
  <c r="G40" i="5"/>
  <c r="G38" i="5"/>
  <c r="G39" i="5"/>
  <c r="K94" i="1"/>
  <c r="G91" i="1" l="1"/>
  <c r="G90" i="1" l="1"/>
  <c r="N5" i="1"/>
  <c r="M40" i="5" l="1"/>
  <c r="M39" i="5"/>
  <c r="M38" i="5"/>
  <c r="L91" i="1" l="1"/>
  <c r="L90" i="1" s="1"/>
  <c r="L5" i="1"/>
  <c r="K40" i="5" l="1"/>
  <c r="K39" i="5"/>
  <c r="K38" i="5"/>
  <c r="K138" i="1"/>
  <c r="N91" i="1"/>
  <c r="N90" i="1" s="1"/>
  <c r="D141" i="1" l="1"/>
  <c r="D140" i="1"/>
  <c r="L9" i="1" l="1"/>
  <c r="L98" i="1" l="1"/>
  <c r="L106" i="1"/>
  <c r="J91" i="1"/>
  <c r="J90" i="1" s="1"/>
  <c r="K91" i="1"/>
  <c r="K90" i="1" s="1"/>
  <c r="K140" i="1"/>
  <c r="K93" i="1"/>
  <c r="I91" i="1"/>
  <c r="I90" i="1" s="1"/>
  <c r="P91" i="1"/>
  <c r="P90" i="1" s="1"/>
  <c r="O91" i="1"/>
  <c r="O90" i="1" s="1"/>
  <c r="M91" i="1"/>
  <c r="M90" i="1" s="1"/>
  <c r="H91" i="1"/>
  <c r="L141" i="1"/>
  <c r="L140" i="1"/>
  <c r="L144" i="1" s="1"/>
  <c r="H90" i="1" l="1"/>
  <c r="K101" i="1"/>
  <c r="P94" i="1"/>
  <c r="O94" i="1"/>
  <c r="J94" i="1"/>
  <c r="I94" i="1"/>
  <c r="H94" i="1"/>
  <c r="O93" i="1" l="1"/>
  <c r="H93" i="1"/>
  <c r="P93" i="1"/>
  <c r="I93" i="1"/>
  <c r="J93" i="1"/>
  <c r="N9" i="1"/>
  <c r="M9" i="1"/>
  <c r="J9" i="1"/>
  <c r="P9" i="1"/>
  <c r="O9" i="1"/>
  <c r="N98" i="1" l="1"/>
  <c r="N106" i="1"/>
  <c r="O11" i="1"/>
  <c r="O98" i="1"/>
  <c r="O106" i="1"/>
  <c r="P11" i="1"/>
  <c r="P98" i="1"/>
  <c r="P106" i="1"/>
  <c r="J11" i="1"/>
  <c r="J98" i="1"/>
  <c r="J106" i="1"/>
  <c r="M98" i="1"/>
  <c r="M106" i="1"/>
  <c r="N11" i="1"/>
  <c r="Q49" i="7"/>
  <c r="S49" i="7" s="1"/>
  <c r="K119" i="1"/>
  <c r="K117" i="1"/>
  <c r="K118" i="1"/>
  <c r="K116" i="1"/>
  <c r="O140" i="1"/>
  <c r="M140" i="1"/>
  <c r="M144" i="1" s="1"/>
  <c r="P140" i="1"/>
  <c r="P138" i="1"/>
  <c r="O141" i="1"/>
  <c r="O138" i="1"/>
  <c r="N141" i="1"/>
  <c r="N140" i="1"/>
  <c r="M141" i="1"/>
  <c r="J140" i="1"/>
  <c r="J138" i="1"/>
  <c r="J141" i="1"/>
  <c r="P141" i="1"/>
  <c r="G94" i="1" l="1"/>
  <c r="G93" i="1" l="1"/>
  <c r="I9" i="1" l="1"/>
  <c r="M94" i="1"/>
  <c r="I11" i="1" l="1"/>
  <c r="I106" i="1"/>
  <c r="I98" i="1"/>
  <c r="I141" i="1"/>
  <c r="I140" i="1"/>
  <c r="M93" i="1" l="1"/>
  <c r="M138" i="1" l="1"/>
  <c r="H9" i="1" l="1"/>
  <c r="H11" i="1" l="1"/>
  <c r="H106" i="1"/>
  <c r="H98" i="1"/>
  <c r="H141" i="1"/>
  <c r="H140" i="1"/>
  <c r="G9" i="1" l="1"/>
  <c r="D136" i="1"/>
  <c r="D135" i="1"/>
  <c r="D134" i="1"/>
  <c r="D133" i="1"/>
  <c r="O99" i="1"/>
  <c r="O100" i="1" s="1"/>
  <c r="G11" i="1" l="1"/>
  <c r="O101" i="1"/>
  <c r="O142" i="1"/>
  <c r="G138" i="1"/>
  <c r="H138" i="1"/>
  <c r="I138" i="1"/>
  <c r="N93" i="1"/>
  <c r="N138" i="1"/>
  <c r="N94" i="1"/>
  <c r="L94" i="1"/>
  <c r="L93" i="1"/>
  <c r="L138" i="1"/>
  <c r="G141" i="1"/>
  <c r="G140" i="1"/>
  <c r="G106" i="1"/>
  <c r="G98" i="1"/>
  <c r="G99" i="1" s="1"/>
  <c r="G100" i="1" s="1"/>
  <c r="O119" i="1"/>
  <c r="I99" i="1"/>
  <c r="I100" i="1" s="1"/>
  <c r="L99" i="1"/>
  <c r="L100" i="1" s="1"/>
  <c r="N99" i="1"/>
  <c r="N100" i="1" s="1"/>
  <c r="M99" i="1"/>
  <c r="M100" i="1" s="1"/>
  <c r="J99" i="1"/>
  <c r="J100" i="1" s="1"/>
  <c r="P99" i="1"/>
  <c r="P100" i="1" s="1"/>
  <c r="H99" i="1"/>
  <c r="H100" i="1" s="1"/>
  <c r="G101" i="1" l="1"/>
  <c r="G142" i="1"/>
  <c r="N101" i="1"/>
  <c r="N142" i="1"/>
  <c r="P101" i="1"/>
  <c r="P142" i="1"/>
  <c r="I101" i="1"/>
  <c r="I142" i="1"/>
  <c r="M101" i="1"/>
  <c r="M142" i="1"/>
  <c r="H101" i="1"/>
  <c r="H142" i="1"/>
  <c r="L101" i="1"/>
  <c r="L142" i="1"/>
  <c r="J101" i="1"/>
  <c r="J142" i="1"/>
  <c r="I119" i="1"/>
  <c r="I116" i="1"/>
  <c r="I117" i="1"/>
  <c r="I118" i="1"/>
  <c r="L116" i="1"/>
  <c r="L119" i="1"/>
  <c r="L118" i="1"/>
  <c r="L117" i="1"/>
  <c r="O118" i="1"/>
  <c r="O117" i="1"/>
  <c r="O116" i="1"/>
  <c r="G119" i="1"/>
  <c r="G118" i="1"/>
  <c r="G117" i="1"/>
  <c r="G116" i="1"/>
  <c r="J118" i="1"/>
  <c r="J117" i="1"/>
  <c r="J116" i="1"/>
  <c r="J119" i="1"/>
  <c r="P119" i="1"/>
  <c r="P118" i="1"/>
  <c r="P117" i="1"/>
  <c r="P116" i="1"/>
  <c r="N116" i="1"/>
  <c r="N119" i="1"/>
  <c r="N118" i="1"/>
  <c r="N117" i="1"/>
  <c r="H119" i="1"/>
  <c r="H118" i="1"/>
  <c r="H117" i="1"/>
  <c r="H116" i="1"/>
  <c r="M119" i="1"/>
  <c r="M118" i="1"/>
  <c r="M117" i="1"/>
  <c r="M116" i="1"/>
  <c r="G95" i="1" l="1"/>
  <c r="G128" i="1"/>
  <c r="G107" i="1"/>
  <c r="G108" i="1" l="1"/>
  <c r="G111" i="1"/>
  <c r="G143" i="1" l="1"/>
  <c r="G121" i="1"/>
  <c r="G112" i="1"/>
  <c r="G114" i="1"/>
  <c r="G113" i="1"/>
  <c r="G124" i="1" s="1"/>
  <c r="G125" i="1" s="1"/>
  <c r="G129" i="1"/>
  <c r="T14" i="7" l="1"/>
  <c r="G144" i="1"/>
  <c r="G130" i="1"/>
  <c r="G131" i="1"/>
  <c r="P95" i="1"/>
  <c r="P128" i="1"/>
  <c r="N107" i="1"/>
  <c r="L95" i="1"/>
  <c r="L128" i="1"/>
  <c r="K107" i="1"/>
  <c r="P107" i="1"/>
  <c r="I128" i="1"/>
  <c r="I95" i="1"/>
  <c r="J107" i="1"/>
  <c r="H128" i="1"/>
  <c r="H95" i="1"/>
  <c r="M107" i="1"/>
  <c r="J95" i="1"/>
  <c r="J128" i="1"/>
  <c r="M95" i="1"/>
  <c r="M128" i="1"/>
  <c r="I107" i="1"/>
  <c r="N128" i="1"/>
  <c r="N95" i="1"/>
  <c r="O107" i="1"/>
  <c r="O128" i="1"/>
  <c r="O95" i="1"/>
  <c r="K95" i="1"/>
  <c r="K128" i="1"/>
  <c r="H107" i="1"/>
  <c r="L107" i="1"/>
  <c r="M108" i="1" l="1"/>
  <c r="M111" i="1" s="1"/>
  <c r="L108" i="1"/>
  <c r="L111" i="1" s="1"/>
  <c r="N108" i="1"/>
  <c r="N111" i="1" s="1"/>
  <c r="O108" i="1"/>
  <c r="I108" i="1"/>
  <c r="I111" i="1" s="1"/>
  <c r="J108" i="1"/>
  <c r="K108" i="1"/>
  <c r="H108" i="1"/>
  <c r="P108" i="1"/>
  <c r="N121" i="1" l="1"/>
  <c r="N112" i="1"/>
  <c r="J111" i="1"/>
  <c r="J143" i="1" s="1"/>
  <c r="N143" i="1"/>
  <c r="H111" i="1"/>
  <c r="H113" i="1" s="1"/>
  <c r="H124" i="1" s="1"/>
  <c r="H125" i="1" s="1"/>
  <c r="K111" i="1"/>
  <c r="K121" i="1" s="1"/>
  <c r="I143" i="1"/>
  <c r="L143" i="1"/>
  <c r="M143" i="1"/>
  <c r="P111" i="1"/>
  <c r="P143" i="1" s="1"/>
  <c r="O111" i="1"/>
  <c r="O129" i="1" s="1"/>
  <c r="O130" i="1" s="1"/>
  <c r="L129" i="1"/>
  <c r="L131" i="1" s="1"/>
  <c r="L121" i="1"/>
  <c r="J129" i="1"/>
  <c r="J130" i="1" s="1"/>
  <c r="J121" i="1"/>
  <c r="I121" i="1"/>
  <c r="M121" i="1"/>
  <c r="N113" i="1"/>
  <c r="N124" i="1" s="1"/>
  <c r="N125" i="1" s="1"/>
  <c r="N114" i="1"/>
  <c r="N129" i="1"/>
  <c r="J112" i="1"/>
  <c r="J114" i="1"/>
  <c r="M114" i="1"/>
  <c r="M113" i="1"/>
  <c r="M124" i="1" s="1"/>
  <c r="M125" i="1" s="1"/>
  <c r="M112" i="1"/>
  <c r="M129" i="1"/>
  <c r="I113" i="1"/>
  <c r="I124" i="1" s="1"/>
  <c r="I125" i="1" s="1"/>
  <c r="I114" i="1"/>
  <c r="I112" i="1"/>
  <c r="L112" i="1"/>
  <c r="L114" i="1"/>
  <c r="L113" i="1"/>
  <c r="L124" i="1" s="1"/>
  <c r="L125" i="1" s="1"/>
  <c r="I129" i="1"/>
  <c r="T49" i="7" l="1"/>
  <c r="N144" i="1"/>
  <c r="T19" i="7"/>
  <c r="I144" i="1"/>
  <c r="T58" i="7"/>
  <c r="P144" i="1"/>
  <c r="T48" i="7"/>
  <c r="J144" i="1"/>
  <c r="H112" i="1"/>
  <c r="J113" i="1"/>
  <c r="J124" i="1" s="1"/>
  <c r="J125" i="1" s="1"/>
  <c r="H121" i="1"/>
  <c r="H129" i="1"/>
  <c r="H131" i="1" s="1"/>
  <c r="H114" i="1"/>
  <c r="O143" i="1"/>
  <c r="O121" i="1"/>
  <c r="H143" i="1"/>
  <c r="K112" i="1"/>
  <c r="K114" i="1"/>
  <c r="O113" i="1"/>
  <c r="O124" i="1" s="1"/>
  <c r="O125" i="1" s="1"/>
  <c r="K143" i="1"/>
  <c r="K144" i="1" s="1"/>
  <c r="O114" i="1"/>
  <c r="K129" i="1"/>
  <c r="K131" i="1" s="1"/>
  <c r="O112" i="1"/>
  <c r="K113" i="1"/>
  <c r="K124" i="1" s="1"/>
  <c r="K125" i="1" s="1"/>
  <c r="P121" i="1"/>
  <c r="P114" i="1"/>
  <c r="P113" i="1"/>
  <c r="P124" i="1" s="1"/>
  <c r="P125" i="1" s="1"/>
  <c r="P129" i="1"/>
  <c r="P112" i="1"/>
  <c r="O131" i="1"/>
  <c r="J131" i="1"/>
  <c r="L130" i="1"/>
  <c r="N131" i="1"/>
  <c r="N130" i="1"/>
  <c r="I131" i="1"/>
  <c r="I130" i="1"/>
  <c r="M130" i="1"/>
  <c r="M131" i="1"/>
  <c r="T17" i="7" l="1"/>
  <c r="H144" i="1"/>
  <c r="T45" i="7"/>
  <c r="O144" i="1"/>
  <c r="H130" i="1"/>
  <c r="K130" i="1"/>
  <c r="P130" i="1"/>
  <c r="P13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Tom Lucas</author>
    <author>tc={8D5AD2FC-BD79-4392-B35A-EF1D14FE2598}</author>
  </authors>
  <commentList>
    <comment ref="D98" authorId="0" shapeId="0" xr:uid="{D87DF50B-11E1-473C-BCF6-CF616C1E1CCF}">
      <text>
        <r>
          <rPr>
            <b/>
            <sz val="9"/>
            <color indexed="81"/>
            <rFont val="Tahoma"/>
            <family val="2"/>
          </rPr>
          <t>Tom Lucas:</t>
        </r>
        <r>
          <rPr>
            <sz val="9"/>
            <color indexed="81"/>
            <rFont val="Tahoma"/>
            <family val="2"/>
          </rPr>
          <t xml:space="preserve">
Assumes no unbilled metered consumption.</t>
        </r>
      </text>
    </comment>
    <comment ref="D115" authorId="0" shapeId="0" xr:uid="{DC1784C9-64CD-44BB-8AB5-0C429805DDB8}">
      <text>
        <r>
          <rPr>
            <b/>
            <sz val="9"/>
            <color indexed="81"/>
            <rFont val="Tahoma"/>
            <family val="2"/>
          </rPr>
          <t>Tom Lucas:</t>
        </r>
        <r>
          <rPr>
            <sz val="9"/>
            <color indexed="81"/>
            <rFont val="Tahoma"/>
            <family val="2"/>
          </rPr>
          <t xml:space="preserve">
Assumes system is pressurised 100% of the time.</t>
        </r>
      </text>
    </comment>
    <comment ref="G128" authorId="1" shapeId="0" xr:uid="{8D5AD2FC-BD79-4392-B35A-EF1D14FE2598}">
      <text>
        <t>[Threaded comment]
Your version of Excel allows you to read this threaded comment; however, any edits to it will get removed if the file is opened in a newer version of Excel. Learn more: https://go.microsoft.com/fwlink/?linkid=870924
Comment:
    Need to extract Millbrook reveneue and expenditure, otherwise include.</t>
      </text>
    </comment>
  </commentList>
</comments>
</file>

<file path=xl/sharedStrings.xml><?xml version="1.0" encoding="utf-8"?>
<sst xmlns="http://schemas.openxmlformats.org/spreadsheetml/2006/main" count="1361" uniqueCount="376">
  <si>
    <t>Supply Area</t>
  </si>
  <si>
    <t>Description</t>
  </si>
  <si>
    <t>Units</t>
  </si>
  <si>
    <t>Key:</t>
  </si>
  <si>
    <t>Water Supplied</t>
  </si>
  <si>
    <t>Period of Analysis</t>
  </si>
  <si>
    <t>dd/mm/yy</t>
  </si>
  <si>
    <t>Input cell</t>
  </si>
  <si>
    <t>Period</t>
  </si>
  <si>
    <t>No. of Days</t>
  </si>
  <si>
    <t>Unreliable results</t>
  </si>
  <si>
    <t>Volume Supplied</t>
  </si>
  <si>
    <t>Sourced from SCADA (Daily flows)</t>
  </si>
  <si>
    <t>m³ for Period</t>
  </si>
  <si>
    <t>Financial Data</t>
  </si>
  <si>
    <t>Volumetric Charge (excl. GST)</t>
  </si>
  <si>
    <t>cents per m³</t>
  </si>
  <si>
    <t>Annual Cost of Running Water Supply System</t>
  </si>
  <si>
    <t>$ per Year</t>
  </si>
  <si>
    <t>Cost of Production (Electricity and Chemicals) (excl. GST)</t>
  </si>
  <si>
    <t>Estimate</t>
  </si>
  <si>
    <t>No. of Metered Residential Connections</t>
  </si>
  <si>
    <t>Counted from Water Meter Data by land use</t>
  </si>
  <si>
    <t>No.</t>
  </si>
  <si>
    <t>No. of Metered Non-Residential Connections</t>
  </si>
  <si>
    <t>No. of Un-Metered Residential Connections</t>
  </si>
  <si>
    <t>No. of Un-Metered Non-Residential Connections</t>
  </si>
  <si>
    <t>Total No. of Connections</t>
  </si>
  <si>
    <t>Length of Mains</t>
  </si>
  <si>
    <t>km</t>
  </si>
  <si>
    <t>Density of Connections</t>
  </si>
  <si>
    <t>conns/km</t>
  </si>
  <si>
    <t>Average Pressure</t>
  </si>
  <si>
    <t>Check Lm x 20 + Ns (&gt;3000)</t>
  </si>
  <si>
    <t>Billing Data</t>
  </si>
  <si>
    <t>Billed Metered Residential Consumption</t>
  </si>
  <si>
    <t>Billed Metered Non-Residential Consumption</t>
  </si>
  <si>
    <t>Metered Reserve Irrigation</t>
  </si>
  <si>
    <t>Billed Un-Metered Residential Consumption (Estimated)</t>
  </si>
  <si>
    <t>Billed Un-Metered Non-Residential Consumption (Estimated)</t>
  </si>
  <si>
    <t xml:space="preserve">Billed </t>
  </si>
  <si>
    <t>litres/conn/day</t>
  </si>
  <si>
    <t>Unbilled Authorised Consumption</t>
  </si>
  <si>
    <t>Estimated Unbilled, Un-Metered Irrigation Use</t>
  </si>
  <si>
    <t>Authorised Unbilled Consumption (0.5% Water Supplied)</t>
  </si>
  <si>
    <t xml:space="preserve">Unbilled </t>
  </si>
  <si>
    <t>Apparent Losses</t>
  </si>
  <si>
    <t>Unauthorised Consumption (0.1% of Water Supplied)</t>
  </si>
  <si>
    <t>Customer Meter Under-registration (2.0% of Billed Consumption)</t>
  </si>
  <si>
    <t>Current Annual Real Losses (CARL)</t>
  </si>
  <si>
    <t>litres/sec</t>
  </si>
  <si>
    <t>m³/km_main/day</t>
  </si>
  <si>
    <t>Unavoidable Annual Real Losses (UARL)</t>
  </si>
  <si>
    <t>m³/annum</t>
  </si>
  <si>
    <t>Infrastructure Leakage Index (ILI)</t>
  </si>
  <si>
    <t>Non-Revenue Water</t>
  </si>
  <si>
    <t>% Water Supplied</t>
  </si>
  <si>
    <t>% Running Costs</t>
  </si>
  <si>
    <t>Revenue Water (Total Cost less Non-Revenue Water)</t>
  </si>
  <si>
    <t>Glenorchy</t>
  </si>
  <si>
    <t>No. of Bulk Customer Connections</t>
  </si>
  <si>
    <t>Millbrook</t>
  </si>
  <si>
    <t>2021 LTP</t>
  </si>
  <si>
    <t>For period relating to latest SCADA flows</t>
  </si>
  <si>
    <t>Bulk Customer Connection</t>
  </si>
  <si>
    <t>Arthurs Point</t>
  </si>
  <si>
    <t>Hawea</t>
  </si>
  <si>
    <t>Lake Hayes</t>
  </si>
  <si>
    <t>Luggate</t>
  </si>
  <si>
    <t>Shotover Country</t>
  </si>
  <si>
    <t>Queenstown</t>
  </si>
  <si>
    <t>Wanaka</t>
  </si>
  <si>
    <t>Authorised Consumption</t>
  </si>
  <si>
    <t>Water Losses</t>
  </si>
  <si>
    <t>Real Losses</t>
  </si>
  <si>
    <t>THIS WORKSHEET PROVIDES AN OVERVIEW OF POSSIBLE OPPORTUNITIES AND ACTIONS FOR IMPROVING LEAKAGE MANAGEMENT PERFORMANCE</t>
  </si>
  <si>
    <t>World Bank Institute (WBI) Guidelines</t>
  </si>
  <si>
    <t>B</t>
  </si>
  <si>
    <t>The World Bank Institute has recently introduced, into its NRW Training Modules, a target matrix for Real Losses management performance, based on real losses in volume/service connection/day for a range of average operating pressures, and classified into Bands A to D. The targets assume that customer meters are located at the property boundary, with an average connection density of around 40 per km mains. Bands A to D in the WBI target matrix can also be shown as an equivalent range of ILIs, which can be applied to a wider range of connection densities and customer meter locations, as shown below. Band limits in terms of ILIs, general descriptions of each Band, and appropriate recommended actions are as follows:</t>
  </si>
  <si>
    <t>Developed Countries</t>
  </si>
  <si>
    <t>BAND</t>
  </si>
  <si>
    <t>Calculated ILI for this System</t>
  </si>
  <si>
    <t>General description of Real Loss Management Performance Categories for Developed and Developing Countries</t>
  </si>
  <si>
    <t xml:space="preserve">ILI range </t>
  </si>
  <si>
    <t>Less than 2</t>
  </si>
  <si>
    <t>A</t>
  </si>
  <si>
    <t/>
  </si>
  <si>
    <t>Further loss reduction may be uneconomic unless there are shortages; careful analysis needed to identify cost-effective improvement</t>
  </si>
  <si>
    <t>2 to &lt; 4</t>
  </si>
  <si>
    <t>Potential for marked improvements; consider pressure management, better active leakage control practices, and better network maintenance</t>
  </si>
  <si>
    <t>4 to &lt; 8</t>
  </si>
  <si>
    <t>C</t>
  </si>
  <si>
    <t>Poor leakage record; tolerable only if water is plentiful and cheap; even then, analyze level and nature of leakage and intensify leakage reduction efforts</t>
  </si>
  <si>
    <t xml:space="preserve">8 or more </t>
  </si>
  <si>
    <t>D</t>
  </si>
  <si>
    <t>Very inefficient use of resources; leakage reduction programs imperative and high priority</t>
  </si>
  <si>
    <t xml:space="preserve">Priority Recommendations for WBI BANDS </t>
  </si>
  <si>
    <t>ILIs</t>
  </si>
  <si>
    <t>Band A/B</t>
  </si>
  <si>
    <t>Band B/C</t>
  </si>
  <si>
    <t>Band C/D</t>
  </si>
  <si>
    <t>This system</t>
  </si>
  <si>
    <r>
      <t xml:space="preserve">Investigate pressure management options </t>
    </r>
    <r>
      <rPr>
        <b/>
        <sz val="14"/>
        <rFont val="Arial"/>
        <family val="2"/>
      </rPr>
      <t>*</t>
    </r>
  </si>
  <si>
    <t>Yes</t>
  </si>
  <si>
    <t>Investigate speed and quality of repairs</t>
  </si>
  <si>
    <r>
      <t xml:space="preserve">Check economic intervention frequency </t>
    </r>
    <r>
      <rPr>
        <b/>
        <sz val="14"/>
        <rFont val="Arial"/>
        <family val="2"/>
      </rPr>
      <t>**</t>
    </r>
  </si>
  <si>
    <r>
      <t xml:space="preserve">Introduce/improve active leakage control </t>
    </r>
    <r>
      <rPr>
        <b/>
        <sz val="14"/>
        <rFont val="Arial"/>
        <family val="2"/>
      </rPr>
      <t xml:space="preserve">** </t>
    </r>
  </si>
  <si>
    <t>Identify options for improved maintenance</t>
  </si>
  <si>
    <t xml:space="preserve">Assess Economic Leakage Level </t>
  </si>
  <si>
    <t xml:space="preserve">Review break frequencies </t>
  </si>
  <si>
    <t>Review asset management policy</t>
  </si>
  <si>
    <t>Deal with deficiencies in manpower, training and communications</t>
  </si>
  <si>
    <t>5-year plan to achieve next lowest band</t>
  </si>
  <si>
    <t>Fundamental peer review of all activities</t>
  </si>
  <si>
    <r>
      <t>Important Footnote:</t>
    </r>
    <r>
      <rPr>
        <sz val="10"/>
        <rFont val="Arial"/>
        <family val="2"/>
      </rPr>
      <t xml:space="preserve"> the Infrastructure Leakage Index (ILI) provides guidance as to how well real losses are being managed (in terms of repairs, active leakage control and infrastructure management) at the current operating pressure. However, calculation of the ILI does not imply that pressure management in a system is optimal, or economic. If system pressures are excessive, or subject to surges, then pressure management may result in additional benefits for real losses management - in particular, a reduction in new burst frequency and annual repair costs, and a reduction in flow rates of existing leaks. So even if a low ILI is being achieved, there may still be opportunities to reduce annual real losses by improved pressure management. </t>
    </r>
  </si>
  <si>
    <r>
      <t>*</t>
    </r>
    <r>
      <rPr>
        <sz val="14"/>
        <rFont val="Arial"/>
        <family val="2"/>
      </rPr>
      <t xml:space="preserve"> </t>
    </r>
    <r>
      <rPr>
        <sz val="10"/>
        <rFont val="Arial"/>
        <family val="2"/>
      </rPr>
      <t>The</t>
    </r>
    <r>
      <rPr>
        <b/>
        <sz val="10"/>
        <rFont val="Arial"/>
        <family val="2"/>
      </rPr>
      <t xml:space="preserve"> PMOpportunities</t>
    </r>
    <r>
      <rPr>
        <sz val="10"/>
        <rFont val="Arial"/>
        <family val="2"/>
      </rPr>
      <t xml:space="preserve"> Worksheet provides a quick overview of pressure management opportunities. See www.leakssuite.com for other pressure management software. </t>
    </r>
  </si>
  <si>
    <r>
      <t xml:space="preserve">** </t>
    </r>
    <r>
      <rPr>
        <sz val="10"/>
        <rFont val="Arial"/>
        <family val="2"/>
      </rPr>
      <t xml:space="preserve">Simplified methods of calculating an economic frequency of intervention for active leakage control by regular survey have been  developed and are included in the </t>
    </r>
    <r>
      <rPr>
        <b/>
        <sz val="10"/>
        <rFont val="Arial"/>
        <family val="2"/>
      </rPr>
      <t>LEAKSSuite</t>
    </r>
    <r>
      <rPr>
        <sz val="10"/>
        <rFont val="Arial"/>
        <family val="2"/>
      </rPr>
      <t xml:space="preserve"> </t>
    </r>
    <r>
      <rPr>
        <b/>
        <sz val="10"/>
        <rFont val="Arial"/>
        <family val="2"/>
      </rPr>
      <t>ALCCalcs</t>
    </r>
    <r>
      <rPr>
        <sz val="10"/>
        <rFont val="Arial"/>
        <family val="2"/>
      </rPr>
      <t xml:space="preserve"> Standard software which also includes a terminology and basic analysis for components of night flows and performance indicators for night flows. </t>
    </r>
  </si>
  <si>
    <r>
      <t>For a quick estimate of the probable benefits of Pressure Management for your system, go next to the</t>
    </r>
    <r>
      <rPr>
        <b/>
        <sz val="11"/>
        <rFont val="Arial"/>
        <family val="2"/>
      </rPr>
      <t xml:space="preserve"> 'PMOpportunities' </t>
    </r>
    <r>
      <rPr>
        <sz val="11"/>
        <rFont val="Arial"/>
        <family val="2"/>
      </rPr>
      <t>Worksheet &gt;&gt;&gt;&gt;</t>
    </r>
  </si>
  <si>
    <t>Leakage Band</t>
  </si>
  <si>
    <t>Water Exported</t>
  </si>
  <si>
    <t>Water Imported</t>
  </si>
  <si>
    <t>Arrowtown (excl Millbrook)</t>
  </si>
  <si>
    <t>Net Into Scheme / System</t>
  </si>
  <si>
    <t>%</t>
  </si>
  <si>
    <t>Consumption</t>
  </si>
  <si>
    <t>Share of Production</t>
  </si>
  <si>
    <t>Connections</t>
  </si>
  <si>
    <t>Data source: 2014 Thomas consultants report</t>
  </si>
  <si>
    <t xml:space="preserve">Counted from rates database. Uses SUIPs as better reflects demand. </t>
  </si>
  <si>
    <t>ILI</t>
  </si>
  <si>
    <t xml:space="preserve">If red, then calculation of UARL unreliable. </t>
  </si>
  <si>
    <t>Calculation</t>
  </si>
  <si>
    <t>Output</t>
  </si>
  <si>
    <t>Potential savings by fixing leaks</t>
  </si>
  <si>
    <t>2021 Scheme Water Supply Pipe length (from 3 Waters AMP scheme summaries)</t>
  </si>
  <si>
    <t>Supply</t>
  </si>
  <si>
    <t>Trunk</t>
  </si>
  <si>
    <t>Service</t>
  </si>
  <si>
    <t>Rider</t>
  </si>
  <si>
    <t>Rising</t>
  </si>
  <si>
    <t>NA</t>
  </si>
  <si>
    <t>Risefall</t>
  </si>
  <si>
    <t>Fall</t>
  </si>
  <si>
    <t>2021 Reticulation pipe length (km)</t>
  </si>
  <si>
    <t>Arrowtown</t>
  </si>
  <si>
    <t>Lake Hayes combined</t>
  </si>
  <si>
    <t>QLDC - PUBLIC TOILETS - WATER USE ASSESSMENT</t>
  </si>
  <si>
    <t xml:space="preserve"> </t>
  </si>
  <si>
    <t># of toilet blocks</t>
  </si>
  <si>
    <t># of small toilet facilities</t>
  </si>
  <si>
    <t>Total # of toilet connections</t>
  </si>
  <si>
    <t>Total toilet use</t>
  </si>
  <si>
    <t>m³</t>
  </si>
  <si>
    <t>Lake Hayes Water</t>
  </si>
  <si>
    <t>QLDC - IRRIGATION SYSTEMS - WATER USE ASSESSMENT</t>
  </si>
  <si>
    <t># of small irrigation systems</t>
  </si>
  <si>
    <t># of large irrigation systems</t>
  </si>
  <si>
    <t>Total # of Parks irrigation</t>
  </si>
  <si>
    <t>Small Systems @ 324m³/annum</t>
  </si>
  <si>
    <t>Large System @ 3,600m³/annum</t>
  </si>
  <si>
    <t>TOTAL</t>
  </si>
  <si>
    <t>Small irrigation systems assumed 30 L/minute X 60 minute X 180 days</t>
  </si>
  <si>
    <t>Assumed Demand</t>
  </si>
  <si>
    <t>Small Toilet</t>
  </si>
  <si>
    <t>Toilet Block</t>
  </si>
  <si>
    <t>Small Reserve</t>
  </si>
  <si>
    <t>Large Reserve</t>
  </si>
  <si>
    <t>m3/day</t>
  </si>
  <si>
    <t>Comment</t>
  </si>
  <si>
    <t>Large irrigation systems assumed 300L/min X 120 minute/day X 100 days</t>
  </si>
  <si>
    <t>From rates database</t>
  </si>
  <si>
    <t>Customer Category</t>
  </si>
  <si>
    <t>Sub-Category</t>
  </si>
  <si>
    <t>WaterConns</t>
  </si>
  <si>
    <t>WaterSUIPs</t>
  </si>
  <si>
    <t>WaterDemUnits</t>
  </si>
  <si>
    <t>Scheme</t>
  </si>
  <si>
    <t>Consumption Data Assumptions</t>
  </si>
  <si>
    <t>The following demand is assumed for each land use type</t>
  </si>
  <si>
    <t>Residential</t>
  </si>
  <si>
    <t>Residential plus flat</t>
  </si>
  <si>
    <t>Rural</t>
  </si>
  <si>
    <t>Accommodation</t>
  </si>
  <si>
    <t>Commercial</t>
  </si>
  <si>
    <t>Council facilities</t>
  </si>
  <si>
    <t>Parks Irrigation</t>
  </si>
  <si>
    <t>Typical daily demand</t>
  </si>
  <si>
    <t>litres per day per connection</t>
  </si>
  <si>
    <t>Average System Pressure (metres of head)</t>
  </si>
  <si>
    <t>If red then calculation of UARL is unreliable due to small scheme size.</t>
  </si>
  <si>
    <t>The actual volume of water lost from the system due to leaks, breaks, and overflows</t>
  </si>
  <si>
    <t>non-physical losses of water within a water distribution system, typically associated with inaccuracies in metering and unauthorized consumption</t>
  </si>
  <si>
    <t>Billed Consumption</t>
  </si>
  <si>
    <t>Unbilled  Consumption</t>
  </si>
  <si>
    <t>Production from Bores / Intakes</t>
  </si>
  <si>
    <t>Scada</t>
  </si>
  <si>
    <t xml:space="preserve">Arrowtown </t>
  </si>
  <si>
    <t xml:space="preserve">Arthurs point </t>
  </si>
  <si>
    <t>Corbridge</t>
  </si>
  <si>
    <t>JonesAve/LakeHayes</t>
  </si>
  <si>
    <t>WildingRd/Lakehayes</t>
  </si>
  <si>
    <t>Kelvin Heights</t>
  </si>
  <si>
    <t>Two Mile</t>
  </si>
  <si>
    <t>SoC borefield(new)</t>
  </si>
  <si>
    <t>Wanaka Airport</t>
  </si>
  <si>
    <t xml:space="preserve">Beacon Point </t>
  </si>
  <si>
    <t xml:space="preserve">Western </t>
  </si>
  <si>
    <t>From Rebecca Macfarlane email 8th Jul 2024</t>
  </si>
  <si>
    <t>01/07/23 to 30/06/24</t>
  </si>
  <si>
    <t>1/07/23 to 30/06/24</t>
  </si>
  <si>
    <t>Bendemeer Supply</t>
  </si>
  <si>
    <t>Data Source</t>
  </si>
  <si>
    <t>Key Metrics</t>
  </si>
  <si>
    <t>Lake Hayes &amp; Shotover Country</t>
  </si>
  <si>
    <t>AT</t>
  </si>
  <si>
    <t>AP</t>
  </si>
  <si>
    <t>GY</t>
  </si>
  <si>
    <t>HW</t>
  </si>
  <si>
    <t>LH</t>
  </si>
  <si>
    <t>LG</t>
  </si>
  <si>
    <t>SC</t>
  </si>
  <si>
    <t>QT</t>
  </si>
  <si>
    <t>WK</t>
  </si>
  <si>
    <t>Non-Residential Consumption = (Rural + Accom + Commercial Connections) x Annual Demand for each</t>
  </si>
  <si>
    <t>Residential Consumption = ( Residential connections + Residenital with flats ) x Annual Demand for each</t>
  </si>
  <si>
    <t xml:space="preserve">Any large individual users. </t>
  </si>
  <si>
    <t>Reserve Irrigation = (Total reserves and toilets on potable supply) x Annual Demand for each</t>
  </si>
  <si>
    <t>All residential use should go in here technically</t>
  </si>
  <si>
    <t>All non-residential use should go in here technically</t>
  </si>
  <si>
    <t xml:space="preserve">Billed Un-Metered Reserve Irrigation (Estimated) </t>
  </si>
  <si>
    <t>Non-Residential</t>
  </si>
  <si>
    <t>SUIPs</t>
  </si>
  <si>
    <t>Total demand units</t>
  </si>
  <si>
    <t>SUIPS</t>
  </si>
  <si>
    <t>Rates database 1 july 2024</t>
  </si>
  <si>
    <t>Annual Demand</t>
  </si>
  <si>
    <t>Reserves and Toilets</t>
  </si>
  <si>
    <t>m3 for the period</t>
  </si>
  <si>
    <t>Key Inputs</t>
  </si>
  <si>
    <t>Demand Assumptions (Un-Metered)</t>
  </si>
  <si>
    <t>Variables</t>
  </si>
  <si>
    <t>2020/21</t>
  </si>
  <si>
    <t>2023/24</t>
  </si>
  <si>
    <t>Change in 2 years</t>
  </si>
  <si>
    <t>System Input</t>
  </si>
  <si>
    <t>Metered Water Use</t>
  </si>
  <si>
    <t>Non-Metered Water Use</t>
  </si>
  <si>
    <t>Commercial Mixed use</t>
  </si>
  <si>
    <t>Accomodation</t>
  </si>
  <si>
    <t>Accomodation Mixed use</t>
  </si>
  <si>
    <t>Vacant</t>
  </si>
  <si>
    <t>Rural Dwelling</t>
  </si>
  <si>
    <t>Residental plus flat</t>
  </si>
  <si>
    <t>Arthur's Point</t>
  </si>
  <si>
    <t>Hydro/Utility</t>
  </si>
  <si>
    <t>Rural Dwelling plus Flat</t>
  </si>
  <si>
    <t>Commercial - Mixed Use</t>
  </si>
  <si>
    <t>Grand Total</t>
  </si>
  <si>
    <t>ARROWTOWN</t>
  </si>
  <si>
    <t>ARTHURS POINT</t>
  </si>
  <si>
    <t>GLENORCHY</t>
  </si>
  <si>
    <t>LAKE HAWEA</t>
  </si>
  <si>
    <t>LAKE HAYES</t>
  </si>
  <si>
    <t>LUGGATE</t>
  </si>
  <si>
    <t>QUEENSTOWN</t>
  </si>
  <si>
    <t>SHOTOVER</t>
  </si>
  <si>
    <t>WANAKA</t>
  </si>
  <si>
    <t>2024 From Asset Register</t>
  </si>
  <si>
    <t>2024 Retic Length</t>
  </si>
  <si>
    <t>Diff to 2021</t>
  </si>
  <si>
    <t>Demand Assumptions (Metered)</t>
  </si>
  <si>
    <t>Units of demand from rates database</t>
  </si>
  <si>
    <t>Difference (Absolute)</t>
  </si>
  <si>
    <t>Bulk Supply</t>
  </si>
  <si>
    <t>Daily demand x connections, annualised</t>
  </si>
  <si>
    <t>Area</t>
  </si>
  <si>
    <t>Zone</t>
  </si>
  <si>
    <t>Survey Year</t>
  </si>
  <si>
    <t>m3/ day</t>
  </si>
  <si>
    <t>per year</t>
  </si>
  <si>
    <t>Annual Production</t>
  </si>
  <si>
    <t>Wakatipu</t>
  </si>
  <si>
    <t>Arrowtown Main Zone</t>
  </si>
  <si>
    <t>Cotter Ave &amp; Advance Terrace</t>
  </si>
  <si>
    <t>Retirement Village</t>
  </si>
  <si>
    <t>Manse Rd</t>
  </si>
  <si>
    <t>Arrowtown Total</t>
  </si>
  <si>
    <t>Arthurs Point East</t>
  </si>
  <si>
    <t>Arthurs Point West</t>
  </si>
  <si>
    <t>Arthurs Point Total</t>
  </si>
  <si>
    <t>Glenorchy Total</t>
  </si>
  <si>
    <t>Boydtown</t>
  </si>
  <si>
    <t>Central Gorge Road</t>
  </si>
  <si>
    <t>Upper Gorge Road</t>
  </si>
  <si>
    <t>Commonage</t>
  </si>
  <si>
    <t>Frankton Road</t>
  </si>
  <si>
    <t>Hallenstein Street</t>
  </si>
  <si>
    <t>Goldfield Heights</t>
  </si>
  <si>
    <t>Larchwood</t>
  </si>
  <si>
    <t>Manchester Place</t>
  </si>
  <si>
    <t>Queenstown CBD</t>
  </si>
  <si>
    <t>Queenstown Total</t>
  </si>
  <si>
    <t>Frankton</t>
  </si>
  <si>
    <t>Kelvin Heights East</t>
  </si>
  <si>
    <t>Kelvin Heights West</t>
  </si>
  <si>
    <t>Hanleys Farm</t>
  </si>
  <si>
    <t>Quail Rise</t>
  </si>
  <si>
    <t>Middleton Rd</t>
  </si>
  <si>
    <t>Marina Drive</t>
  </si>
  <si>
    <t>Frankton Total</t>
  </si>
  <si>
    <t>Heritage Hotel</t>
  </si>
  <si>
    <t>Sunshine Bay</t>
  </si>
  <si>
    <t>Lower Fernhill</t>
  </si>
  <si>
    <t>Mid Fernhill</t>
  </si>
  <si>
    <t>Upper Fernhill</t>
  </si>
  <si>
    <t>Fernhill Total</t>
  </si>
  <si>
    <t>Wakatipu Total</t>
  </si>
  <si>
    <t>Hawea east</t>
  </si>
  <si>
    <t>Hawea west</t>
  </si>
  <si>
    <t>Hawea Total</t>
  </si>
  <si>
    <t>Luggate Total</t>
  </si>
  <si>
    <t>Albert Town</t>
  </si>
  <si>
    <t>Anderson Road &amp; Mount Iron Estate</t>
  </si>
  <si>
    <t>Ballantyne Road &amp; Industrial Area</t>
  </si>
  <si>
    <t>Hedditch Street</t>
  </si>
  <si>
    <t>Peninsula Bay &amp; Kings Drive</t>
  </si>
  <si>
    <t>Plantation Road</t>
  </si>
  <si>
    <t>South West Wanaka</t>
  </si>
  <si>
    <t>Western &amp; CBD</t>
  </si>
  <si>
    <t>Wanaka Total</t>
  </si>
  <si>
    <t>Nightflow assessment by Veolia</t>
  </si>
  <si>
    <t>Figures are in litres per second</t>
  </si>
  <si>
    <t>The UARL provides an estimate of the minimum level of real losses that can be expected in a well-managed water distribution system under current operating conditions. This helps utilities set realistic targets for leakage reduction and understand the potential for further improvement.</t>
  </si>
  <si>
    <t>Demand Units</t>
  </si>
  <si>
    <t>Total Length of Network</t>
  </si>
  <si>
    <t>Watersupply Mains (km)</t>
  </si>
  <si>
    <t>Watersupply Laterals (km)</t>
  </si>
  <si>
    <t>Shotover</t>
  </si>
  <si>
    <t>Lake Hawea</t>
  </si>
  <si>
    <t xml:space="preserve">Used to calculate UARL only. </t>
  </si>
  <si>
    <t>Commerical</t>
  </si>
  <si>
    <t>Billed water exported to other schemes/systems. Assume 10% growth since 2021 until actual flows known.</t>
  </si>
  <si>
    <t>litres per day per SUIP</t>
  </si>
  <si>
    <t>Check calcs</t>
  </si>
  <si>
    <t>Excludes Millbrook</t>
  </si>
  <si>
    <t>Other</t>
  </si>
  <si>
    <t>Toilets</t>
  </si>
  <si>
    <t>Scheme Name</t>
  </si>
  <si>
    <t>Number</t>
  </si>
  <si>
    <t>SHOTVR CTY</t>
  </si>
  <si>
    <t>Irrigation Systems</t>
  </si>
  <si>
    <t>ARTHURS PT</t>
  </si>
  <si>
    <t>2024 data</t>
  </si>
  <si>
    <t>Source: Asset Data Dashboard</t>
  </si>
  <si>
    <t>50 uses per day, 6 litres per flsu plus 2 litres per hand wash plus 100 litres for cleaning per day.</t>
  </si>
  <si>
    <t>As per above, but assume atleast 6 toilets and 1 urinal @ 1000 litres per day</t>
  </si>
  <si>
    <t>Small Facilities @ 0.5m³/day</t>
  </si>
  <si>
    <t>Toilet Block @ 4m³/day</t>
  </si>
  <si>
    <t>Values</t>
  </si>
  <si>
    <t>Sub-Category2</t>
  </si>
  <si>
    <t>Arthur's Point Total</t>
  </si>
  <si>
    <t>Lake Hayes Total</t>
  </si>
  <si>
    <t>Difference beteween SUIPS and Demand Units is win Accomodation land use</t>
  </si>
  <si>
    <t>2020/21 figures</t>
  </si>
  <si>
    <t>% change</t>
  </si>
  <si>
    <t>% Losses (Night Flow)</t>
  </si>
  <si>
    <t>% Losses (Water Balance)</t>
  </si>
  <si>
    <t>Arrowtown (Excl. Millbrook)</t>
  </si>
  <si>
    <t>Residential Billed Consumption</t>
  </si>
  <si>
    <t>Non-Residential Billed Consumption</t>
  </si>
  <si>
    <t>Unbilled Authorised Consumption (Council Reserves and Toilets etc)</t>
  </si>
  <si>
    <t>Authorised Unbilled Consumption</t>
  </si>
  <si>
    <t>Demand in crease assumed at 22%</t>
  </si>
  <si>
    <t>0.9'</t>
  </si>
  <si>
    <t>0.1'</t>
  </si>
  <si>
    <t>QLDC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</si>
</sst>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Red]\-&quot;$&quot;#,##0.00"/>
    <numFmt numFmtId="44" formatCode="_-&quot;$&quot;* #,##0.00_-;\-&quot;$&quot;* #,##0.00_-;_-&quot;$&quot;* &quot;-&quot;??_-;_-@_-"/>
    <numFmt numFmtId="43" formatCode="_-* #,##0.00_-;\-* #,##0.00_-;_-* &quot;-&quot;??_-;_-@_-"/>
    <numFmt numFmtId="164" formatCode="_-* #,##0_-;\-* #,##0_-;_-* &quot;-&quot;??_-;_-@_-"/>
    <numFmt numFmtId="165" formatCode="0.0"/>
    <numFmt numFmtId="166" formatCode="#,##0.0"/>
    <numFmt numFmtId="167" formatCode="0.0%"/>
    <numFmt numFmtId="168" formatCode="0.000"/>
  </numFmts>
  <fonts count="65" x14ac:knownFonts="1">
    <font>
      <sz val="11"/>
      <color theme="1"/>
      <name val="Calibri"/>
      <family val="2"/>
      <scheme val="minor"/>
    </font>
    <font>
      <sz val="11"/>
      <color theme="1"/>
      <name val="Calibri"/>
      <family val="2"/>
      <scheme val="minor"/>
    </font>
    <font>
      <sz val="11"/>
      <color rgb="FF9C0006"/>
      <name val="Calibri"/>
      <family val="2"/>
      <scheme val="minor"/>
    </font>
    <font>
      <sz val="11"/>
      <color rgb="FF3F3F76"/>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name val="Calibri"/>
      <family val="2"/>
      <scheme val="minor"/>
    </font>
    <font>
      <b/>
      <sz val="9"/>
      <color indexed="81"/>
      <name val="Tahoma"/>
      <family val="2"/>
    </font>
    <font>
      <sz val="9"/>
      <color indexed="81"/>
      <name val="Tahoma"/>
      <family val="2"/>
    </font>
    <font>
      <sz val="11"/>
      <color theme="0"/>
      <name val="Calibri"/>
      <family val="2"/>
      <scheme val="minor"/>
    </font>
    <font>
      <b/>
      <sz val="11"/>
      <color rgb="FF3F3F3F"/>
      <name val="Calibri"/>
      <family val="2"/>
      <scheme val="minor"/>
    </font>
    <font>
      <b/>
      <sz val="18"/>
      <color theme="1"/>
      <name val="Calibri"/>
      <family val="2"/>
      <scheme val="minor"/>
    </font>
    <font>
      <b/>
      <sz val="10"/>
      <color rgb="FF000000"/>
      <name val="Calibri"/>
      <family val="2"/>
    </font>
    <font>
      <b/>
      <sz val="20"/>
      <color theme="1"/>
      <name val="Calibri"/>
      <family val="2"/>
      <scheme val="minor"/>
    </font>
    <font>
      <b/>
      <sz val="11"/>
      <color rgb="FF000000"/>
      <name val="Calibri"/>
      <family val="2"/>
    </font>
    <font>
      <b/>
      <sz val="9.5"/>
      <name val="Arial"/>
      <family val="2"/>
    </font>
    <font>
      <b/>
      <sz val="10"/>
      <name val="Arial"/>
      <family val="2"/>
    </font>
    <font>
      <sz val="10"/>
      <color indexed="9"/>
      <name val="Arial"/>
      <family val="2"/>
    </font>
    <font>
      <sz val="10"/>
      <name val="Arial"/>
      <family val="2"/>
    </font>
    <font>
      <sz val="9"/>
      <name val="Arial"/>
      <family val="2"/>
    </font>
    <font>
      <b/>
      <sz val="14"/>
      <name val="Arial"/>
      <family val="2"/>
    </font>
    <font>
      <i/>
      <sz val="10"/>
      <name val="Arial"/>
      <family val="2"/>
    </font>
    <font>
      <sz val="14"/>
      <name val="Arial"/>
      <family val="2"/>
    </font>
    <font>
      <sz val="11"/>
      <name val="Arial"/>
      <family val="2"/>
    </font>
    <font>
      <b/>
      <sz val="11"/>
      <name val="Arial"/>
      <family val="2"/>
    </font>
    <font>
      <b/>
      <sz val="12"/>
      <color rgb="FF000000"/>
      <name val="Arial"/>
      <family val="2"/>
    </font>
    <font>
      <b/>
      <sz val="16"/>
      <color theme="1"/>
      <name val="Calibri"/>
      <family val="2"/>
      <scheme val="minor"/>
    </font>
    <font>
      <b/>
      <sz val="11"/>
      <color rgb="FFFA7D00"/>
      <name val="Calibri"/>
      <family val="2"/>
      <scheme val="minor"/>
    </font>
    <font>
      <sz val="11"/>
      <color rgb="FFFA7D00"/>
      <name val="Calibri"/>
      <family val="2"/>
      <scheme val="minor"/>
    </font>
    <font>
      <sz val="11"/>
      <color rgb="FF006100"/>
      <name val="Calibri"/>
      <family val="2"/>
      <scheme val="minor"/>
    </font>
    <font>
      <sz val="9"/>
      <color theme="1"/>
      <name val="Arial"/>
      <family val="2"/>
    </font>
    <font>
      <sz val="11"/>
      <color rgb="FF9C6500"/>
      <name val="Calibri"/>
      <family val="2"/>
      <scheme val="minor"/>
    </font>
    <font>
      <b/>
      <sz val="11"/>
      <color theme="0"/>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5700"/>
      <name val="Calibri"/>
      <family val="2"/>
      <scheme val="minor"/>
    </font>
    <font>
      <i/>
      <sz val="11"/>
      <color rgb="FFFF0000"/>
      <name val="Calibri"/>
      <family val="2"/>
      <scheme val="minor"/>
    </font>
    <font>
      <b/>
      <sz val="12"/>
      <color rgb="FF000000"/>
      <name val="Calibri"/>
      <family val="2"/>
      <scheme val="minor"/>
    </font>
    <font>
      <sz val="9"/>
      <color theme="1"/>
      <name val="Calibri"/>
      <family val="2"/>
      <scheme val="minor"/>
    </font>
    <font>
      <b/>
      <sz val="12.5"/>
      <color rgb="FF000000"/>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
      <sz val="12"/>
      <color theme="0"/>
      <name val="Calibri"/>
      <family val="2"/>
      <scheme val="minor"/>
    </font>
    <font>
      <b/>
      <sz val="10"/>
      <color theme="0"/>
      <name val="Arial"/>
      <family val="2"/>
    </font>
    <font>
      <b/>
      <sz val="11"/>
      <color theme="0" tint="-0.499984740745262"/>
      <name val="Arial"/>
      <family val="2"/>
    </font>
    <font>
      <sz val="11"/>
      <color theme="0" tint="-0.34998626667073579"/>
      <name val="Calibri"/>
      <family val="2"/>
      <scheme val="minor"/>
    </font>
    <font>
      <b/>
      <sz val="14"/>
      <color theme="1"/>
      <name val="Calibri"/>
      <family val="2"/>
      <scheme val="minor"/>
    </font>
    <font>
      <b/>
      <sz val="16"/>
      <color theme="2" tint="-9.9978637043366805E-2"/>
      <name val="Calibri"/>
      <family val="2"/>
      <scheme val="minor"/>
    </font>
    <font>
      <sz val="11"/>
      <color rgb="FF000000"/>
      <name val="Arial"/>
      <family val="2"/>
    </font>
    <font>
      <b/>
      <sz val="12"/>
      <color theme="1"/>
      <name val="Calibri"/>
      <family val="2"/>
      <scheme val="minor"/>
    </font>
    <font>
      <i/>
      <sz val="36"/>
      <color theme="2" tint="-0.249977111117893"/>
      <name val="Calibri"/>
      <family val="2"/>
      <scheme val="minor"/>
    </font>
    <font>
      <b/>
      <sz val="16"/>
      <name val="Calibri"/>
      <family val="2"/>
      <scheme val="minor"/>
    </font>
    <font>
      <b/>
      <sz val="14"/>
      <name val="Calibri"/>
      <family val="2"/>
      <scheme val="minor"/>
    </font>
    <font>
      <sz val="11"/>
      <color rgb="FF000000"/>
      <name val="Calibri"/>
      <family val="2"/>
    </font>
    <font>
      <b/>
      <sz val="10"/>
      <color rgb="FFFFFFFF"/>
      <name val="Arial"/>
      <family val="2"/>
    </font>
    <font>
      <sz val="10"/>
      <color theme="1"/>
      <name val="Arial"/>
      <family val="2"/>
    </font>
    <font>
      <sz val="10"/>
      <color rgb="FFFFFFFF"/>
      <name val="Arial"/>
      <family val="2"/>
    </font>
    <font>
      <sz val="11"/>
      <color rgb="FFC00000"/>
      <name val="Calibri"/>
      <family val="2"/>
      <scheme val="minor"/>
    </font>
    <font>
      <sz val="10"/>
      <color rgb="FF000000"/>
      <name val="Calibri"/>
      <family val="2"/>
    </font>
    <font>
      <i/>
      <sz val="11"/>
      <name val="Calibri"/>
      <family val="2"/>
      <scheme val="minor"/>
    </font>
  </fonts>
  <fills count="58">
    <fill>
      <patternFill patternType="none"/>
    </fill>
    <fill>
      <patternFill patternType="gray125"/>
    </fill>
    <fill>
      <patternFill patternType="solid">
        <fgColor rgb="FFFFC7CE"/>
      </patternFill>
    </fill>
    <fill>
      <patternFill patternType="solid">
        <fgColor rgb="FFFFCC99"/>
      </patternFill>
    </fill>
    <fill>
      <patternFill patternType="solid">
        <fgColor rgb="FFFFFFCC"/>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rgb="FFFFFF00"/>
        <bgColor indexed="64"/>
      </patternFill>
    </fill>
    <fill>
      <patternFill patternType="solid">
        <fgColor rgb="FFF2F2F2"/>
      </patternFill>
    </fill>
    <fill>
      <patternFill patternType="solid">
        <fgColor theme="9" tint="0.39997558519241921"/>
        <bgColor indexed="64"/>
      </patternFill>
    </fill>
    <fill>
      <patternFill patternType="solid">
        <fgColor indexed="41"/>
        <bgColor indexed="64"/>
      </patternFill>
    </fill>
    <fill>
      <patternFill patternType="solid">
        <fgColor theme="6"/>
      </patternFill>
    </fill>
    <fill>
      <patternFill patternType="solid">
        <fgColor theme="9"/>
      </patternFill>
    </fill>
    <fill>
      <patternFill patternType="solid">
        <fgColor rgb="FFC6EF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rgb="FFD9D9D9"/>
        <bgColor indexed="64"/>
      </patternFill>
    </fill>
    <fill>
      <patternFill patternType="solid">
        <fgColor theme="0" tint="-0.14999847407452621"/>
        <bgColor indexed="64"/>
      </patternFill>
    </fill>
    <fill>
      <patternFill patternType="solid">
        <fgColor theme="2"/>
        <bgColor indexed="64"/>
      </patternFill>
    </fill>
    <fill>
      <patternFill patternType="solid">
        <fgColor rgb="FF4DE7E3"/>
        <bgColor indexed="64"/>
      </patternFill>
    </fill>
    <fill>
      <patternFill patternType="solid">
        <fgColor theme="7" tint="0.59999389629810485"/>
        <bgColor indexed="64"/>
      </patternFill>
    </fill>
    <fill>
      <patternFill patternType="solid">
        <fgColor rgb="FFF68AEC"/>
        <bgColor indexed="64"/>
      </patternFill>
    </fill>
    <fill>
      <patternFill patternType="solid">
        <fgColor rgb="FFFBD1F7"/>
        <bgColor indexed="64"/>
      </patternFill>
    </fill>
    <fill>
      <patternFill patternType="solid">
        <fgColor theme="0"/>
        <bgColor indexed="64"/>
      </patternFill>
    </fill>
    <fill>
      <patternFill patternType="solid">
        <fgColor rgb="FFFF0000"/>
        <bgColor rgb="FFFF0000"/>
      </patternFill>
    </fill>
    <fill>
      <patternFill patternType="solid">
        <fgColor rgb="FFFF9900"/>
        <bgColor rgb="FFFF9900"/>
      </patternFill>
    </fill>
    <fill>
      <patternFill patternType="solid">
        <fgColor rgb="FFFFFFFF"/>
        <bgColor rgb="FFFFFFFF"/>
      </patternFill>
    </fill>
    <fill>
      <patternFill patternType="solid">
        <fgColor rgb="FFCCCCCC"/>
        <bgColor rgb="FFCCCCCC"/>
      </patternFill>
    </fill>
    <fill>
      <patternFill patternType="solid">
        <fgColor rgb="FF666666"/>
        <bgColor rgb="FF666666"/>
      </patternFill>
    </fill>
    <fill>
      <patternFill patternType="solid">
        <fgColor rgb="FFD9D9D9"/>
        <bgColor rgb="FFD9D9D9"/>
      </patternFill>
    </fill>
    <fill>
      <patternFill patternType="solid">
        <fgColor rgb="FF000000"/>
        <bgColor rgb="FF000000"/>
      </patternFill>
    </fill>
    <fill>
      <patternFill patternType="solid">
        <fgColor theme="0"/>
        <bgColor rgb="FF00FF00"/>
      </patternFill>
    </fill>
    <fill>
      <patternFill patternType="solid">
        <fgColor theme="0"/>
        <bgColor rgb="FFFF9900"/>
      </patternFill>
    </fill>
  </fills>
  <borders count="7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9"/>
      </left>
      <right style="medium">
        <color indexed="9"/>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9"/>
      </left>
      <right style="medium">
        <color indexed="9"/>
      </right>
      <top style="medium">
        <color indexed="64"/>
      </top>
      <bottom style="medium">
        <color indexed="64"/>
      </bottom>
      <diagonal/>
    </border>
    <border>
      <left style="medium">
        <color indexed="64"/>
      </left>
      <right style="medium">
        <color indexed="9"/>
      </right>
      <top style="medium">
        <color indexed="64"/>
      </top>
      <bottom style="thin">
        <color indexed="64"/>
      </bottom>
      <diagonal/>
    </border>
    <border>
      <left style="medium">
        <color indexed="9"/>
      </left>
      <right style="medium">
        <color indexed="9"/>
      </right>
      <top style="medium">
        <color indexed="64"/>
      </top>
      <bottom style="thin">
        <color indexed="64"/>
      </bottom>
      <diagonal/>
    </border>
    <border>
      <left style="medium">
        <color indexed="9"/>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bottom style="medium">
        <color indexed="64"/>
      </bottom>
      <diagonal/>
    </border>
    <border>
      <left/>
      <right style="medium">
        <color indexed="64"/>
      </right>
      <top/>
      <bottom style="medium">
        <color indexed="64"/>
      </bottom>
      <diagonal/>
    </border>
    <border>
      <left style="thin">
        <color rgb="FFD3D3D3"/>
      </left>
      <right style="thin">
        <color rgb="FFD3D3D3"/>
      </right>
      <top style="thin">
        <color rgb="FFD3D3D3"/>
      </top>
      <bottom style="thin">
        <color rgb="FFD3D3D3"/>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indexed="64"/>
      </right>
      <top style="medium">
        <color indexed="64"/>
      </top>
      <bottom style="thin">
        <color rgb="FFD3D3D3"/>
      </bottom>
      <diagonal/>
    </border>
    <border>
      <left style="thin">
        <color rgb="FF7F7F7F"/>
      </left>
      <right/>
      <top style="thin">
        <color rgb="FF7F7F7F"/>
      </top>
      <bottom style="thin">
        <color rgb="FF7F7F7F"/>
      </bottom>
      <diagonal/>
    </border>
    <border>
      <left style="thin">
        <color rgb="FF3F3F3F"/>
      </left>
      <right/>
      <top style="thin">
        <color rgb="FF3F3F3F"/>
      </top>
      <bottom style="thin">
        <color rgb="FF3F3F3F"/>
      </bottom>
      <diagonal/>
    </border>
    <border>
      <left/>
      <right style="medium">
        <color indexed="64"/>
      </right>
      <top style="thin">
        <color rgb="FFD3D3D3"/>
      </top>
      <bottom style="thin">
        <color rgb="FFD3D3D3"/>
      </bottom>
      <diagonal/>
    </border>
    <border>
      <left/>
      <right style="medium">
        <color indexed="64"/>
      </right>
      <top style="thin">
        <color rgb="FFD3D3D3"/>
      </top>
      <bottom style="medium">
        <color indexed="64"/>
      </bottom>
      <diagonal/>
    </border>
    <border>
      <left/>
      <right style="medium">
        <color indexed="64"/>
      </right>
      <top/>
      <bottom style="thin">
        <color rgb="FFD3D3D3"/>
      </bottom>
      <diagonal/>
    </border>
    <border>
      <left/>
      <right style="medium">
        <color indexed="64"/>
      </right>
      <top style="thin">
        <color rgb="FFD3D3D3"/>
      </top>
      <bottom/>
      <diagonal/>
    </border>
    <border>
      <left/>
      <right style="thin">
        <color rgb="FFB2B2B2"/>
      </right>
      <top style="thin">
        <color rgb="FFB2B2B2"/>
      </top>
      <bottom style="thin">
        <color rgb="FFB2B2B2"/>
      </bottom>
      <diagonal/>
    </border>
    <border>
      <left style="medium">
        <color indexed="64"/>
      </left>
      <right style="thin">
        <color rgb="FFB2B2B2"/>
      </right>
      <top style="thin">
        <color rgb="FFD3D3D3"/>
      </top>
      <bottom/>
      <diagonal/>
    </border>
    <border>
      <left style="medium">
        <color indexed="64"/>
      </left>
      <right style="thin">
        <color rgb="FFB2B2B2"/>
      </right>
      <top/>
      <bottom/>
      <diagonal/>
    </border>
    <border>
      <left style="medium">
        <color indexed="64"/>
      </left>
      <right/>
      <top style="thin">
        <color rgb="FFD3D3D3"/>
      </top>
      <bottom/>
      <diagonal/>
    </border>
    <border>
      <left style="medium">
        <color indexed="64"/>
      </left>
      <right/>
      <top/>
      <bottom style="medium">
        <color indexed="64"/>
      </bottom>
      <diagonal/>
    </border>
    <border>
      <left style="thin">
        <color rgb="FFB2B2B2"/>
      </left>
      <right style="thin">
        <color rgb="FFB2B2B2"/>
      </right>
      <top style="thin">
        <color rgb="FFB2B2B2"/>
      </top>
      <bottom/>
      <diagonal/>
    </border>
    <border>
      <left style="thin">
        <color rgb="FFB2B2B2"/>
      </left>
      <right style="thin">
        <color rgb="FFB2B2B2"/>
      </right>
      <top style="medium">
        <color indexed="64"/>
      </top>
      <bottom style="thin">
        <color rgb="FFB2B2B2"/>
      </bottom>
      <diagonal/>
    </border>
    <border>
      <left style="thin">
        <color rgb="FFD3D3D3"/>
      </left>
      <right style="medium">
        <color indexed="64"/>
      </right>
      <top style="thin">
        <color rgb="FFD3D3D3"/>
      </top>
      <bottom style="thin">
        <color rgb="FFD3D3D3"/>
      </bottom>
      <diagonal/>
    </border>
    <border>
      <left style="thin">
        <color rgb="FFB2B2B2"/>
      </left>
      <right style="thin">
        <color rgb="FFB2B2B2"/>
      </right>
      <top style="thin">
        <color rgb="FFB2B2B2"/>
      </top>
      <bottom style="medium">
        <color indexed="64"/>
      </bottom>
      <diagonal/>
    </border>
    <border>
      <left style="medium">
        <color rgb="FFA59F9F"/>
      </left>
      <right style="medium">
        <color rgb="FFA59F9F"/>
      </right>
      <top style="medium">
        <color rgb="FFA59F9F"/>
      </top>
      <bottom style="medium">
        <color rgb="FFA59F9F"/>
      </bottom>
      <diagonal/>
    </border>
    <border>
      <left/>
      <right style="medium">
        <color rgb="FFA59F9F"/>
      </right>
      <top style="medium">
        <color rgb="FFA59F9F"/>
      </top>
      <bottom style="medium">
        <color rgb="FFA59F9F"/>
      </bottom>
      <diagonal/>
    </border>
    <border>
      <left style="medium">
        <color rgb="FFA59F9F"/>
      </left>
      <right/>
      <top style="medium">
        <color rgb="FFA59F9F"/>
      </top>
      <bottom style="medium">
        <color rgb="FFA59F9F"/>
      </bottom>
      <diagonal/>
    </border>
    <border>
      <left/>
      <right style="medium">
        <color rgb="FFA59F9F"/>
      </right>
      <top/>
      <bottom style="medium">
        <color rgb="FFA59F9F"/>
      </bottom>
      <diagonal/>
    </border>
    <border>
      <left style="medium">
        <color rgb="FFA59F9F"/>
      </left>
      <right style="medium">
        <color rgb="FFA59F9F"/>
      </right>
      <top/>
      <bottom style="medium">
        <color rgb="FFA59F9F"/>
      </bottom>
      <diagonal/>
    </border>
    <border>
      <left style="medium">
        <color rgb="FFA59F9F"/>
      </left>
      <right/>
      <top/>
      <bottom style="medium">
        <color rgb="FFA59F9F"/>
      </bottom>
      <diagonal/>
    </border>
    <border>
      <left/>
      <right style="medium">
        <color rgb="FFA59F9F"/>
      </right>
      <top style="medium">
        <color rgb="FFA59F9F"/>
      </top>
      <bottom/>
      <diagonal/>
    </border>
    <border>
      <left style="medium">
        <color rgb="FFA59F9F"/>
      </left>
      <right style="medium">
        <color rgb="FFA59F9F"/>
      </right>
      <top style="medium">
        <color rgb="FFA59F9F"/>
      </top>
      <bottom/>
      <diagonal/>
    </border>
    <border>
      <left style="medium">
        <color rgb="FFA59F9F"/>
      </left>
      <right/>
      <top style="medium">
        <color rgb="FFA59F9F"/>
      </top>
      <bottom/>
      <diagonal/>
    </border>
  </borders>
  <cellStyleXfs count="5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1" fillId="4" borderId="2" applyNumberFormat="0" applyFont="0" applyAlignment="0" applyProtection="0"/>
    <xf numFmtId="0" fontId="5" fillId="0" borderId="0" applyNumberFormat="0" applyFill="0" applyBorder="0" applyAlignment="0" applyProtection="0"/>
    <xf numFmtId="0" fontId="11" fillId="10" borderId="3" applyNumberFormat="0" applyAlignment="0" applyProtection="0"/>
    <xf numFmtId="0" fontId="28" fillId="10" borderId="1" applyNumberFormat="0" applyAlignment="0" applyProtection="0"/>
    <xf numFmtId="0" fontId="29" fillId="0" borderId="41" applyNumberFormat="0" applyFill="0" applyAlignment="0" applyProtection="0"/>
    <xf numFmtId="0" fontId="10" fillId="13" borderId="0" applyNumberFormat="0" applyBorder="0" applyAlignment="0" applyProtection="0"/>
    <xf numFmtId="0" fontId="10" fillId="14" borderId="0" applyNumberFormat="0" applyBorder="0" applyAlignment="0" applyProtection="0"/>
    <xf numFmtId="0" fontId="30" fillId="15" borderId="0" applyNumberFormat="0" applyBorder="0" applyAlignment="0" applyProtection="0"/>
    <xf numFmtId="0" fontId="1" fillId="0" borderId="0"/>
    <xf numFmtId="0" fontId="31" fillId="0" borderId="0"/>
    <xf numFmtId="9" fontId="31" fillId="0" borderId="0" applyFont="0" applyFill="0" applyBorder="0" applyAlignment="0" applyProtection="0"/>
    <xf numFmtId="0" fontId="32" fillId="16" borderId="0" applyNumberFormat="0" applyBorder="0" applyAlignment="0" applyProtection="0"/>
    <xf numFmtId="43" fontId="31" fillId="0" borderId="0" applyFont="0" applyFill="0" applyBorder="0" applyAlignment="0" applyProtection="0"/>
    <xf numFmtId="0" fontId="1" fillId="0" borderId="0"/>
    <xf numFmtId="0" fontId="1" fillId="0" borderId="0"/>
    <xf numFmtId="0" fontId="35" fillId="0" borderId="0" applyNumberFormat="0" applyFill="0" applyBorder="0" applyAlignment="0" applyProtection="0"/>
    <xf numFmtId="0" fontId="36" fillId="0" borderId="42" applyNumberFormat="0" applyFill="0" applyAlignment="0" applyProtection="0"/>
    <xf numFmtId="0" fontId="37" fillId="0" borderId="43" applyNumberFormat="0" applyFill="0" applyAlignment="0" applyProtection="0"/>
    <xf numFmtId="0" fontId="38" fillId="0" borderId="44" applyNumberFormat="0" applyFill="0" applyAlignment="0" applyProtection="0"/>
    <xf numFmtId="0" fontId="38" fillId="0" borderId="0" applyNumberFormat="0" applyFill="0" applyBorder="0" applyAlignment="0" applyProtection="0"/>
    <xf numFmtId="0" fontId="39" fillId="16" borderId="0" applyNumberFormat="0" applyBorder="0" applyAlignment="0" applyProtection="0"/>
    <xf numFmtId="0" fontId="33" fillId="17" borderId="45" applyNumberFormat="0" applyAlignment="0" applyProtection="0"/>
    <xf numFmtId="0" fontId="4" fillId="0" borderId="0" applyNumberFormat="0" applyFill="0" applyBorder="0" applyAlignment="0" applyProtection="0"/>
    <xf numFmtId="0" fontId="6" fillId="0" borderId="46" applyNumberFormat="0" applyFill="0" applyAlignment="0" applyProtection="0"/>
    <xf numFmtId="0" fontId="1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0"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9" fillId="0" borderId="0"/>
    <xf numFmtId="43" fontId="1" fillId="0" borderId="0" applyFont="0" applyFill="0" applyBorder="0" applyAlignment="0" applyProtection="0"/>
    <xf numFmtId="44" fontId="1" fillId="0" borderId="0" applyFont="0" applyFill="0" applyBorder="0" applyAlignment="0" applyProtection="0"/>
    <xf numFmtId="43" fontId="31" fillId="0" borderId="0" applyFont="0" applyFill="0" applyBorder="0" applyAlignment="0" applyProtection="0"/>
  </cellStyleXfs>
  <cellXfs count="284">
    <xf numFmtId="0" fontId="0" fillId="0" borderId="0" xfId="0"/>
    <xf numFmtId="0" fontId="6" fillId="0" borderId="0" xfId="0" applyFont="1" applyAlignment="1">
      <alignment horizontal="center"/>
    </xf>
    <xf numFmtId="0" fontId="6" fillId="0" borderId="0" xfId="0" applyFont="1"/>
    <xf numFmtId="0" fontId="6" fillId="0" borderId="0" xfId="0" applyFont="1" applyAlignment="1">
      <alignment horizontal="left"/>
    </xf>
    <xf numFmtId="0" fontId="0" fillId="0" borderId="0" xfId="0" applyAlignment="1">
      <alignment horizontal="center"/>
    </xf>
    <xf numFmtId="0" fontId="0" fillId="0" borderId="0" xfId="0" applyAlignment="1">
      <alignment horizontal="left" indent="2"/>
    </xf>
    <xf numFmtId="0" fontId="3" fillId="3" borderId="1" xfId="4" applyAlignment="1">
      <alignment horizontal="center"/>
    </xf>
    <xf numFmtId="0" fontId="2" fillId="2" borderId="0" xfId="3"/>
    <xf numFmtId="3" fontId="3" fillId="3" borderId="1" xfId="4" applyNumberFormat="1" applyAlignment="1">
      <alignment horizontal="center"/>
    </xf>
    <xf numFmtId="3" fontId="0" fillId="0" borderId="0" xfId="0" applyNumberFormat="1" applyAlignment="1">
      <alignment horizontal="center"/>
    </xf>
    <xf numFmtId="1" fontId="0" fillId="0" borderId="0" xfId="0" applyNumberFormat="1" applyAlignment="1">
      <alignment horizontal="center"/>
    </xf>
    <xf numFmtId="166" fontId="0" fillId="0" borderId="0" xfId="0" applyNumberFormat="1" applyAlignment="1">
      <alignment horizontal="center"/>
    </xf>
    <xf numFmtId="0" fontId="0" fillId="0" borderId="0" xfId="0" applyAlignment="1">
      <alignment horizontal="left" indent="1"/>
    </xf>
    <xf numFmtId="0" fontId="0" fillId="4" borderId="2" xfId="5" applyFont="1" applyAlignment="1">
      <alignment horizontal="left" indent="1"/>
    </xf>
    <xf numFmtId="0" fontId="0" fillId="0" borderId="0" xfId="0" applyAlignment="1">
      <alignment horizontal="right" indent="1"/>
    </xf>
    <xf numFmtId="14" fontId="3" fillId="3" borderId="1" xfId="4" applyNumberFormat="1" applyAlignment="1">
      <alignment horizontal="center"/>
    </xf>
    <xf numFmtId="0" fontId="10" fillId="5" borderId="0" xfId="0" applyFont="1" applyFill="1" applyAlignment="1">
      <alignment horizontal="center" wrapText="1"/>
    </xf>
    <xf numFmtId="0" fontId="10" fillId="6" borderId="0" xfId="0" applyFont="1" applyFill="1" applyAlignment="1">
      <alignment horizontal="center" wrapText="1"/>
    </xf>
    <xf numFmtId="0" fontId="10" fillId="7" borderId="0" xfId="0" applyFont="1" applyFill="1" applyAlignment="1">
      <alignment horizontal="center" wrapText="1"/>
    </xf>
    <xf numFmtId="0" fontId="10" fillId="8" borderId="0" xfId="0" applyFont="1" applyFill="1" applyAlignment="1">
      <alignment horizontal="center" wrapText="1"/>
    </xf>
    <xf numFmtId="3" fontId="6" fillId="0" borderId="0" xfId="0" applyNumberFormat="1" applyFont="1" applyAlignment="1">
      <alignment horizontal="center"/>
    </xf>
    <xf numFmtId="0" fontId="0" fillId="0" borderId="8" xfId="0" applyBorder="1" applyProtection="1">
      <protection hidden="1"/>
    </xf>
    <xf numFmtId="0" fontId="0" fillId="0" borderId="0" xfId="0" applyProtection="1">
      <protection hidden="1"/>
    </xf>
    <xf numFmtId="0" fontId="0" fillId="0" borderId="12" xfId="0" applyBorder="1" applyProtection="1">
      <protection hidden="1"/>
    </xf>
    <xf numFmtId="0" fontId="0" fillId="0" borderId="0" xfId="0" applyAlignment="1">
      <alignment vertical="center"/>
    </xf>
    <xf numFmtId="0" fontId="18" fillId="0" borderId="15" xfId="0" applyFont="1" applyBorder="1" applyAlignment="1" applyProtection="1">
      <alignment vertical="center"/>
      <protection hidden="1"/>
    </xf>
    <xf numFmtId="0" fontId="0" fillId="0" borderId="0" xfId="0" applyAlignment="1" applyProtection="1">
      <alignment vertical="center"/>
      <protection hidden="1"/>
    </xf>
    <xf numFmtId="0" fontId="17" fillId="0" borderId="7" xfId="0" applyFont="1" applyBorder="1" applyAlignment="1" applyProtection="1">
      <alignment horizontal="center"/>
      <protection hidden="1"/>
    </xf>
    <xf numFmtId="0" fontId="0" fillId="0" borderId="0" xfId="0" applyAlignment="1">
      <alignment vertical="center" wrapText="1"/>
    </xf>
    <xf numFmtId="0" fontId="17" fillId="0" borderId="7" xfId="0" applyFont="1" applyBorder="1" applyAlignment="1" applyProtection="1">
      <alignment horizontal="center" vertical="center" wrapText="1"/>
      <protection hidden="1"/>
    </xf>
    <xf numFmtId="165" fontId="17" fillId="12" borderId="7" xfId="0" applyNumberFormat="1" applyFont="1" applyFill="1" applyBorder="1" applyAlignment="1" applyProtection="1">
      <alignment horizontal="center" vertical="center" wrapText="1"/>
      <protection hidden="1"/>
    </xf>
    <xf numFmtId="0" fontId="0" fillId="0" borderId="0" xfId="0" applyAlignment="1" applyProtection="1">
      <alignment vertical="center" wrapText="1"/>
      <protection hidden="1"/>
    </xf>
    <xf numFmtId="0" fontId="20" fillId="0" borderId="0" xfId="0" applyFont="1" applyProtection="1">
      <protection hidden="1"/>
    </xf>
    <xf numFmtId="2" fontId="19" fillId="0" borderId="28" xfId="0" applyNumberFormat="1" applyFont="1" applyBorder="1" applyProtection="1">
      <protection hidden="1"/>
    </xf>
    <xf numFmtId="165" fontId="20" fillId="0" borderId="0" xfId="0" applyNumberFormat="1" applyFont="1" applyAlignment="1" applyProtection="1">
      <alignment horizontal="center"/>
      <protection hidden="1"/>
    </xf>
    <xf numFmtId="2" fontId="19" fillId="0" borderId="0" xfId="0" applyNumberFormat="1" applyFont="1" applyProtection="1">
      <protection hidden="1"/>
    </xf>
    <xf numFmtId="2" fontId="22" fillId="0" borderId="28" xfId="0" applyNumberFormat="1" applyFont="1" applyBorder="1" applyProtection="1">
      <protection hidden="1"/>
    </xf>
    <xf numFmtId="2" fontId="19" fillId="0" borderId="33" xfId="0" applyNumberFormat="1" applyFont="1" applyBorder="1" applyProtection="1">
      <protection hidden="1"/>
    </xf>
    <xf numFmtId="0" fontId="22" fillId="0" borderId="28" xfId="0" applyFont="1" applyBorder="1" applyProtection="1">
      <protection hidden="1"/>
    </xf>
    <xf numFmtId="2" fontId="19" fillId="0" borderId="34" xfId="0" applyNumberFormat="1" applyFont="1" applyBorder="1" applyProtection="1">
      <protection hidden="1"/>
    </xf>
    <xf numFmtId="2" fontId="0" fillId="0" borderId="0" xfId="0" applyNumberFormat="1" applyProtection="1">
      <protection hidden="1"/>
    </xf>
    <xf numFmtId="168" fontId="0" fillId="0" borderId="0" xfId="0" applyNumberFormat="1" applyProtection="1">
      <protection hidden="1"/>
    </xf>
    <xf numFmtId="0" fontId="17" fillId="0" borderId="36" xfId="0" applyFont="1" applyBorder="1" applyProtection="1">
      <protection hidden="1"/>
    </xf>
    <xf numFmtId="0" fontId="17" fillId="0" borderId="36" xfId="0" applyFont="1" applyBorder="1" applyAlignment="1" applyProtection="1">
      <alignment horizontal="center" vertical="center"/>
      <protection hidden="1"/>
    </xf>
    <xf numFmtId="0" fontId="17" fillId="0" borderId="37" xfId="0" applyFont="1" applyBorder="1" applyAlignment="1" applyProtection="1">
      <alignment horizontal="center" vertical="center"/>
      <protection hidden="1"/>
    </xf>
    <xf numFmtId="0" fontId="0" fillId="0" borderId="0" xfId="0" applyAlignment="1">
      <alignment horizontal="right"/>
    </xf>
    <xf numFmtId="0" fontId="26" fillId="0" borderId="40" xfId="0" applyFont="1" applyBorder="1" applyAlignment="1">
      <alignment horizontal="center" vertical="center" wrapText="1" readingOrder="1"/>
    </xf>
    <xf numFmtId="0" fontId="6" fillId="0" borderId="0" xfId="0" applyFont="1" applyAlignment="1">
      <alignment horizontal="center" wrapText="1"/>
    </xf>
    <xf numFmtId="3" fontId="0" fillId="0" borderId="0" xfId="0" applyNumberFormat="1"/>
    <xf numFmtId="0" fontId="6" fillId="0" borderId="0" xfId="0" applyFont="1" applyAlignment="1">
      <alignment horizontal="right" indent="1"/>
    </xf>
    <xf numFmtId="9" fontId="0" fillId="0" borderId="0" xfId="2" applyFont="1" applyAlignment="1">
      <alignment horizontal="center"/>
    </xf>
    <xf numFmtId="3" fontId="7" fillId="3" borderId="1" xfId="4" applyNumberFormat="1" applyFont="1" applyAlignment="1">
      <alignment horizontal="center"/>
    </xf>
    <xf numFmtId="0" fontId="34" fillId="0" borderId="0" xfId="0" applyFont="1"/>
    <xf numFmtId="0" fontId="6" fillId="0" borderId="0" xfId="0" applyFont="1" applyProtection="1">
      <protection hidden="1"/>
    </xf>
    <xf numFmtId="0" fontId="34" fillId="4" borderId="2" xfId="5" applyFont="1" applyAlignment="1">
      <alignment horizontal="left"/>
    </xf>
    <xf numFmtId="0" fontId="34" fillId="4" borderId="2" xfId="5" applyFont="1" applyAlignment="1">
      <alignment horizontal="left" indent="2"/>
    </xf>
    <xf numFmtId="0" fontId="34" fillId="4" borderId="2" xfId="5" applyFont="1"/>
    <xf numFmtId="0" fontId="34" fillId="4" borderId="2" xfId="5" applyFont="1" applyAlignment="1">
      <alignment vertical="center"/>
    </xf>
    <xf numFmtId="0" fontId="34" fillId="4" borderId="2" xfId="5" applyFont="1" applyAlignment="1">
      <alignment horizontal="left" indent="1"/>
    </xf>
    <xf numFmtId="0" fontId="40" fillId="0" borderId="0" xfId="6" applyFont="1" applyAlignment="1">
      <alignment horizontal="left" indent="2"/>
    </xf>
    <xf numFmtId="0" fontId="27" fillId="0" borderId="0" xfId="0" applyFont="1" applyAlignment="1">
      <alignment horizontal="center"/>
    </xf>
    <xf numFmtId="0" fontId="27" fillId="0" borderId="0" xfId="0" applyFont="1" applyAlignment="1">
      <alignment horizontal="center" wrapText="1"/>
    </xf>
    <xf numFmtId="0" fontId="17" fillId="0" borderId="0" xfId="0" applyFont="1"/>
    <xf numFmtId="0" fontId="41" fillId="0" borderId="0" xfId="14" applyFont="1" applyAlignment="1">
      <alignment vertical="center"/>
    </xf>
    <xf numFmtId="0" fontId="42" fillId="0" borderId="0" xfId="14" applyFont="1"/>
    <xf numFmtId="0" fontId="44" fillId="41" borderId="28" xfId="14" applyFont="1" applyFill="1" applyBorder="1" applyAlignment="1">
      <alignment horizontal="left" vertical="center" wrapText="1"/>
    </xf>
    <xf numFmtId="0" fontId="46" fillId="0" borderId="0" xfId="14" applyFont="1"/>
    <xf numFmtId="0" fontId="10" fillId="40" borderId="0" xfId="0" applyFont="1" applyFill="1"/>
    <xf numFmtId="0" fontId="6" fillId="0" borderId="0" xfId="0" applyFont="1" applyAlignment="1">
      <alignment horizontal="right"/>
    </xf>
    <xf numFmtId="0" fontId="47" fillId="40" borderId="0" xfId="0" applyFont="1" applyFill="1"/>
    <xf numFmtId="0" fontId="47" fillId="40" borderId="0" xfId="0" applyFont="1" applyFill="1" applyAlignment="1">
      <alignment horizontal="center" wrapText="1"/>
    </xf>
    <xf numFmtId="0" fontId="47" fillId="40" borderId="0" xfId="0" applyFont="1" applyFill="1" applyAlignment="1">
      <alignment horizontal="center"/>
    </xf>
    <xf numFmtId="3" fontId="41" fillId="0" borderId="28" xfId="14" applyNumberFormat="1" applyFont="1" applyBorder="1" applyAlignment="1">
      <alignment horizontal="center" vertical="center" wrapText="1"/>
    </xf>
    <xf numFmtId="0" fontId="41" fillId="42" borderId="50" xfId="14" applyFont="1" applyFill="1" applyBorder="1" applyAlignment="1">
      <alignment horizontal="center" vertical="center" wrapText="1"/>
    </xf>
    <xf numFmtId="3" fontId="41" fillId="42" borderId="28" xfId="14" applyNumberFormat="1" applyFont="1" applyFill="1" applyBorder="1" applyAlignment="1">
      <alignment horizontal="center" vertical="center" wrapText="1"/>
    </xf>
    <xf numFmtId="0" fontId="28" fillId="10" borderId="1" xfId="8" applyAlignment="1">
      <alignment horizontal="center"/>
    </xf>
    <xf numFmtId="164" fontId="3" fillId="3" borderId="1" xfId="1" applyNumberFormat="1" applyFont="1" applyFill="1" applyBorder="1" applyAlignment="1">
      <alignment horizontal="center"/>
    </xf>
    <xf numFmtId="164" fontId="11" fillId="10" borderId="3" xfId="7" applyNumberFormat="1" applyAlignment="1">
      <alignment horizontal="center"/>
    </xf>
    <xf numFmtId="0" fontId="45" fillId="4" borderId="2" xfId="5" applyFont="1" applyAlignment="1">
      <alignment horizontal="left" vertical="center"/>
    </xf>
    <xf numFmtId="2" fontId="3" fillId="3" borderId="1" xfId="4" applyNumberFormat="1"/>
    <xf numFmtId="0" fontId="10" fillId="40" borderId="28" xfId="0" applyFont="1" applyFill="1" applyBorder="1"/>
    <xf numFmtId="3" fontId="48" fillId="40" borderId="28" xfId="0" applyNumberFormat="1" applyFont="1" applyFill="1" applyBorder="1"/>
    <xf numFmtId="0" fontId="48" fillId="40" borderId="28" xfId="0" applyFont="1" applyFill="1" applyBorder="1" applyAlignment="1">
      <alignment wrapText="1"/>
    </xf>
    <xf numFmtId="0" fontId="6" fillId="0" borderId="28" xfId="0" applyFont="1" applyBorder="1" applyAlignment="1">
      <alignment horizontal="right"/>
    </xf>
    <xf numFmtId="0" fontId="49" fillId="0" borderId="28" xfId="0" applyFont="1" applyBorder="1" applyAlignment="1">
      <alignment horizontal="right"/>
    </xf>
    <xf numFmtId="3" fontId="3" fillId="3" borderId="1" xfId="4" applyNumberFormat="1"/>
    <xf numFmtId="0" fontId="50" fillId="0" borderId="0" xfId="0" applyFont="1"/>
    <xf numFmtId="3" fontId="28" fillId="10" borderId="1" xfId="8" applyNumberFormat="1"/>
    <xf numFmtId="0" fontId="3" fillId="3" borderId="52" xfId="4" applyBorder="1"/>
    <xf numFmtId="0" fontId="28" fillId="10" borderId="52" xfId="8" applyBorder="1"/>
    <xf numFmtId="0" fontId="11" fillId="10" borderId="53" xfId="7" applyBorder="1"/>
    <xf numFmtId="0" fontId="52" fillId="0" borderId="0" xfId="0" applyFont="1" applyAlignment="1">
      <alignment horizontal="center" wrapText="1"/>
    </xf>
    <xf numFmtId="9" fontId="0" fillId="0" borderId="0" xfId="0" applyNumberFormat="1"/>
    <xf numFmtId="8" fontId="0" fillId="0" borderId="0" xfId="0" applyNumberFormat="1"/>
    <xf numFmtId="0" fontId="5" fillId="0" borderId="0" xfId="6" applyAlignment="1">
      <alignment horizontal="center"/>
    </xf>
    <xf numFmtId="164" fontId="3" fillId="3" borderId="1" xfId="4" applyNumberFormat="1"/>
    <xf numFmtId="0" fontId="3" fillId="3" borderId="1" xfId="4"/>
    <xf numFmtId="0" fontId="53" fillId="0" borderId="40" xfId="0" applyFont="1" applyBorder="1" applyAlignment="1">
      <alignment horizontal="center" vertical="center" wrapText="1" readingOrder="1"/>
    </xf>
    <xf numFmtId="3" fontId="10" fillId="0" borderId="0" xfId="0" applyNumberFormat="1" applyFont="1" applyAlignment="1">
      <alignment horizontal="center"/>
    </xf>
    <xf numFmtId="166" fontId="10" fillId="0" borderId="0" xfId="0" applyNumberFormat="1" applyFont="1" applyAlignment="1">
      <alignment horizontal="center"/>
    </xf>
    <xf numFmtId="164" fontId="28" fillId="10" borderId="1" xfId="8" applyNumberFormat="1"/>
    <xf numFmtId="3" fontId="54" fillId="0" borderId="0" xfId="0" applyNumberFormat="1" applyFont="1" applyAlignment="1">
      <alignment horizontal="center"/>
    </xf>
    <xf numFmtId="0" fontId="6" fillId="0" borderId="0" xfId="0" applyFont="1" applyAlignment="1">
      <alignment horizontal="left" indent="2"/>
    </xf>
    <xf numFmtId="167" fontId="0" fillId="0" borderId="0" xfId="2" applyNumberFormat="1" applyFont="1"/>
    <xf numFmtId="164" fontId="6" fillId="0" borderId="0" xfId="0" applyNumberFormat="1" applyFont="1"/>
    <xf numFmtId="3" fontId="57" fillId="44" borderId="3" xfId="7" applyNumberFormat="1" applyFont="1" applyFill="1" applyAlignment="1">
      <alignment horizontal="center"/>
    </xf>
    <xf numFmtId="3" fontId="51" fillId="45" borderId="0" xfId="0" applyNumberFormat="1" applyFont="1" applyFill="1" applyAlignment="1">
      <alignment horizontal="center"/>
    </xf>
    <xf numFmtId="3" fontId="51" fillId="46" borderId="0" xfId="0" applyNumberFormat="1" applyFont="1" applyFill="1" applyAlignment="1">
      <alignment horizontal="center"/>
    </xf>
    <xf numFmtId="0" fontId="15" fillId="46" borderId="51" xfId="0" applyFont="1" applyFill="1" applyBorder="1" applyAlignment="1">
      <alignment vertical="top" wrapText="1" readingOrder="1"/>
    </xf>
    <xf numFmtId="0" fontId="0" fillId="4" borderId="58" xfId="5" applyFont="1" applyBorder="1" applyAlignment="1">
      <alignment horizontal="left" indent="1"/>
    </xf>
    <xf numFmtId="0" fontId="6" fillId="46" borderId="7" xfId="0" applyFont="1" applyFill="1" applyBorder="1" applyAlignment="1">
      <alignment horizontal="left" indent="1"/>
    </xf>
    <xf numFmtId="0" fontId="13" fillId="45" borderId="51" xfId="0" applyFont="1" applyFill="1" applyBorder="1" applyAlignment="1">
      <alignment vertical="top" wrapText="1" readingOrder="1"/>
    </xf>
    <xf numFmtId="0" fontId="6" fillId="45" borderId="0" xfId="0" applyFont="1" applyFill="1" applyAlignment="1">
      <alignment horizontal="left" indent="2"/>
    </xf>
    <xf numFmtId="0" fontId="10" fillId="0" borderId="0" xfId="0" applyFont="1" applyAlignment="1">
      <alignment horizontal="center"/>
    </xf>
    <xf numFmtId="164" fontId="10" fillId="0" borderId="0" xfId="1" applyNumberFormat="1" applyFont="1" applyAlignment="1">
      <alignment horizontal="center"/>
    </xf>
    <xf numFmtId="0" fontId="10" fillId="0" borderId="0" xfId="0" applyFont="1"/>
    <xf numFmtId="0" fontId="10" fillId="0" borderId="0" xfId="0" applyFont="1" applyAlignment="1">
      <alignment horizontal="left" indent="2"/>
    </xf>
    <xf numFmtId="9" fontId="10" fillId="0" borderId="0" xfId="2" applyFont="1" applyAlignment="1">
      <alignment horizontal="center"/>
    </xf>
    <xf numFmtId="0" fontId="58" fillId="11" borderId="54" xfId="0" applyFont="1" applyFill="1" applyBorder="1" applyAlignment="1">
      <alignment vertical="top" wrapText="1" readingOrder="1"/>
    </xf>
    <xf numFmtId="0" fontId="15" fillId="46" borderId="55" xfId="0" applyFont="1" applyFill="1" applyBorder="1" applyAlignment="1">
      <alignment vertical="top" wrapText="1" readingOrder="1"/>
    </xf>
    <xf numFmtId="0" fontId="34" fillId="0" borderId="0" xfId="0" applyFont="1" applyAlignment="1">
      <alignment wrapText="1"/>
    </xf>
    <xf numFmtId="0" fontId="0" fillId="4" borderId="63" xfId="5" applyFont="1" applyBorder="1" applyAlignment="1">
      <alignment horizontal="left" indent="1"/>
    </xf>
    <xf numFmtId="0" fontId="0" fillId="0" borderId="20" xfId="0" applyBorder="1" applyAlignment="1">
      <alignment horizontal="left" indent="2"/>
    </xf>
    <xf numFmtId="0" fontId="0" fillId="4" borderId="64" xfId="5" applyFont="1" applyBorder="1" applyAlignment="1">
      <alignment horizontal="left" indent="2"/>
    </xf>
    <xf numFmtId="0" fontId="0" fillId="0" borderId="20" xfId="0" applyBorder="1" applyAlignment="1">
      <alignment horizontal="center"/>
    </xf>
    <xf numFmtId="166" fontId="0" fillId="0" borderId="20" xfId="0" applyNumberFormat="1" applyBorder="1" applyAlignment="1">
      <alignment horizontal="center"/>
    </xf>
    <xf numFmtId="166" fontId="0" fillId="0" borderId="21" xfId="0" applyNumberFormat="1" applyBorder="1" applyAlignment="1">
      <alignment horizontal="center"/>
    </xf>
    <xf numFmtId="0" fontId="0" fillId="4" borderId="2" xfId="5" applyFont="1" applyAlignment="1">
      <alignment horizontal="left" indent="2"/>
    </xf>
    <xf numFmtId="0" fontId="53" fillId="0" borderId="65" xfId="0" applyFont="1" applyBorder="1" applyAlignment="1">
      <alignment horizontal="center" vertical="center" wrapText="1" readingOrder="1"/>
    </xf>
    <xf numFmtId="0" fontId="0" fillId="0" borderId="23" xfId="0" applyBorder="1" applyAlignment="1">
      <alignment horizontal="center"/>
    </xf>
    <xf numFmtId="0" fontId="6" fillId="0" borderId="0" xfId="0" applyFont="1" applyAlignment="1">
      <alignment horizontal="left" wrapText="1"/>
    </xf>
    <xf numFmtId="0" fontId="0" fillId="4" borderId="2" xfId="5" applyFont="1" applyAlignment="1">
      <alignment horizontal="left" wrapText="1"/>
    </xf>
    <xf numFmtId="167" fontId="0" fillId="0" borderId="0" xfId="2" applyNumberFormat="1" applyFont="1" applyBorder="1" applyAlignment="1">
      <alignment horizontal="center"/>
    </xf>
    <xf numFmtId="167" fontId="0" fillId="0" borderId="23" xfId="2" applyNumberFormat="1" applyFont="1" applyBorder="1" applyAlignment="1">
      <alignment horizontal="center"/>
    </xf>
    <xf numFmtId="0" fontId="0" fillId="0" borderId="0" xfId="0" applyAlignment="1">
      <alignment horizontal="left" wrapText="1" indent="2"/>
    </xf>
    <xf numFmtId="3" fontId="0" fillId="0" borderId="23" xfId="0" applyNumberFormat="1" applyBorder="1" applyAlignment="1">
      <alignment horizontal="center"/>
    </xf>
    <xf numFmtId="0" fontId="0" fillId="4" borderId="2" xfId="5" applyFont="1" applyAlignment="1">
      <alignment horizontal="left" wrapText="1" indent="2"/>
    </xf>
    <xf numFmtId="0" fontId="6" fillId="0" borderId="38" xfId="0" applyFont="1" applyBorder="1" applyAlignment="1">
      <alignment horizontal="left" wrapText="1"/>
    </xf>
    <xf numFmtId="0" fontId="0" fillId="4" borderId="66" xfId="5" applyFont="1" applyBorder="1" applyAlignment="1">
      <alignment horizontal="left" wrapText="1"/>
    </xf>
    <xf numFmtId="0" fontId="0" fillId="0" borderId="38" xfId="0" applyBorder="1" applyAlignment="1">
      <alignment horizontal="center"/>
    </xf>
    <xf numFmtId="3" fontId="0" fillId="0" borderId="38" xfId="0" applyNumberFormat="1" applyBorder="1" applyAlignment="1">
      <alignment horizontal="center"/>
    </xf>
    <xf numFmtId="3" fontId="0" fillId="0" borderId="39" xfId="0" applyNumberFormat="1" applyBorder="1" applyAlignment="1">
      <alignment horizontal="center"/>
    </xf>
    <xf numFmtId="0" fontId="0" fillId="0" borderId="67" xfId="0" applyBorder="1" applyAlignment="1">
      <alignment wrapText="1"/>
    </xf>
    <xf numFmtId="0" fontId="0" fillId="0" borderId="68" xfId="0" applyBorder="1" applyAlignment="1">
      <alignment wrapText="1"/>
    </xf>
    <xf numFmtId="0" fontId="0" fillId="0" borderId="69" xfId="0" applyBorder="1" applyAlignment="1">
      <alignment wrapText="1"/>
    </xf>
    <xf numFmtId="0" fontId="6" fillId="0" borderId="70" xfId="0" applyFont="1" applyBorder="1" applyAlignment="1">
      <alignment wrapText="1"/>
    </xf>
    <xf numFmtId="0" fontId="6" fillId="0" borderId="71" xfId="0" applyFont="1" applyBorder="1" applyAlignment="1">
      <alignment wrapText="1"/>
    </xf>
    <xf numFmtId="0" fontId="6" fillId="0" borderId="72" xfId="0" applyFont="1" applyBorder="1" applyAlignment="1">
      <alignment wrapText="1"/>
    </xf>
    <xf numFmtId="0" fontId="0" fillId="0" borderId="73" xfId="0" applyBorder="1" applyAlignment="1">
      <alignment wrapText="1"/>
    </xf>
    <xf numFmtId="0" fontId="0" fillId="0" borderId="74" xfId="0" applyBorder="1" applyAlignment="1">
      <alignment wrapText="1"/>
    </xf>
    <xf numFmtId="0" fontId="0" fillId="0" borderId="75" xfId="0" applyBorder="1" applyAlignment="1">
      <alignment wrapText="1"/>
    </xf>
    <xf numFmtId="0" fontId="0" fillId="0" borderId="0" xfId="0" pivotButton="1"/>
    <xf numFmtId="3" fontId="28" fillId="10" borderId="1" xfId="8" applyNumberFormat="1" applyAlignment="1">
      <alignment horizontal="center"/>
    </xf>
    <xf numFmtId="1" fontId="0" fillId="0" borderId="0" xfId="0" applyNumberFormat="1"/>
    <xf numFmtId="3" fontId="48" fillId="40" borderId="33" xfId="0" applyNumberFormat="1" applyFont="1" applyFill="1" applyBorder="1"/>
    <xf numFmtId="164" fontId="0" fillId="0" borderId="0" xfId="1" applyNumberFormat="1" applyFont="1"/>
    <xf numFmtId="3" fontId="6" fillId="0" borderId="0" xfId="0" applyNumberFormat="1" applyFont="1"/>
    <xf numFmtId="3" fontId="7" fillId="0" borderId="0" xfId="0" applyNumberFormat="1" applyFont="1" applyAlignment="1">
      <alignment horizontal="center"/>
    </xf>
    <xf numFmtId="0" fontId="7" fillId="0" borderId="0" xfId="0" applyFont="1" applyAlignment="1">
      <alignment horizontal="center"/>
    </xf>
    <xf numFmtId="0" fontId="7" fillId="0" borderId="0" xfId="0" applyFont="1"/>
    <xf numFmtId="0" fontId="0" fillId="0" borderId="71" xfId="0" applyBorder="1" applyAlignment="1">
      <alignment wrapText="1"/>
    </xf>
    <xf numFmtId="0" fontId="59" fillId="49" borderId="0" xfId="0" applyFont="1" applyFill="1"/>
    <xf numFmtId="0" fontId="60" fillId="49" borderId="0" xfId="0" applyFont="1" applyFill="1"/>
    <xf numFmtId="0" fontId="44" fillId="0" borderId="0" xfId="0" applyFont="1"/>
    <xf numFmtId="0" fontId="60" fillId="0" borderId="0" xfId="0" applyFont="1"/>
    <xf numFmtId="0" fontId="60" fillId="0" borderId="0" xfId="0" applyFont="1" applyAlignment="1">
      <alignment horizontal="right"/>
    </xf>
    <xf numFmtId="0" fontId="60" fillId="50" borderId="0" xfId="0" applyFont="1" applyFill="1" applyAlignment="1">
      <alignment horizontal="right"/>
    </xf>
    <xf numFmtId="0" fontId="60" fillId="51" borderId="0" xfId="0" applyFont="1" applyFill="1" applyAlignment="1">
      <alignment horizontal="right"/>
    </xf>
    <xf numFmtId="0" fontId="60" fillId="51" borderId="0" xfId="0" applyFont="1" applyFill="1"/>
    <xf numFmtId="0" fontId="60" fillId="52" borderId="0" xfId="0" applyFont="1" applyFill="1"/>
    <xf numFmtId="0" fontId="60" fillId="52" borderId="0" xfId="0" applyFont="1" applyFill="1" applyAlignment="1">
      <alignment horizontal="right"/>
    </xf>
    <xf numFmtId="9" fontId="2" fillId="2" borderId="0" xfId="3" applyNumberFormat="1"/>
    <xf numFmtId="9" fontId="0" fillId="0" borderId="0" xfId="2" applyFont="1"/>
    <xf numFmtId="0" fontId="61" fillId="53" borderId="0" xfId="0" applyFont="1" applyFill="1"/>
    <xf numFmtId="0" fontId="60" fillId="53" borderId="0" xfId="0" applyFont="1" applyFill="1"/>
    <xf numFmtId="0" fontId="61" fillId="53" borderId="0" xfId="0" applyFont="1" applyFill="1" applyAlignment="1">
      <alignment horizontal="right"/>
    </xf>
    <xf numFmtId="0" fontId="60" fillId="54" borderId="0" xfId="0" applyFont="1" applyFill="1"/>
    <xf numFmtId="0" fontId="60" fillId="54" borderId="0" xfId="0" applyFont="1" applyFill="1" applyAlignment="1">
      <alignment horizontal="right"/>
    </xf>
    <xf numFmtId="0" fontId="61" fillId="55" borderId="0" xfId="0" applyFont="1" applyFill="1"/>
    <xf numFmtId="0" fontId="60" fillId="55" borderId="0" xfId="0" applyFont="1" applyFill="1"/>
    <xf numFmtId="0" fontId="61" fillId="55" borderId="0" xfId="0" applyFont="1" applyFill="1" applyAlignment="1">
      <alignment horizontal="right"/>
    </xf>
    <xf numFmtId="166" fontId="7" fillId="0" borderId="0" xfId="0" applyNumberFormat="1" applyFont="1" applyAlignment="1">
      <alignment horizontal="center"/>
    </xf>
    <xf numFmtId="3" fontId="48" fillId="40" borderId="28" xfId="0" applyNumberFormat="1" applyFont="1" applyFill="1" applyBorder="1" applyAlignment="1">
      <alignment horizontal="center" wrapText="1"/>
    </xf>
    <xf numFmtId="3" fontId="29" fillId="3" borderId="41" xfId="9" applyNumberFormat="1" applyFill="1" applyAlignment="1">
      <alignment horizontal="center"/>
    </xf>
    <xf numFmtId="43" fontId="4" fillId="0" borderId="0" xfId="1" applyFont="1" applyAlignment="1">
      <alignment horizontal="center"/>
    </xf>
    <xf numFmtId="0" fontId="3" fillId="9" borderId="1" xfId="4" applyFill="1" applyAlignment="1">
      <alignment horizontal="center"/>
    </xf>
    <xf numFmtId="0" fontId="6" fillId="0" borderId="19" xfId="0" applyFont="1" applyBorder="1"/>
    <xf numFmtId="0" fontId="0" fillId="0" borderId="21" xfId="0" applyBorder="1"/>
    <xf numFmtId="0" fontId="0" fillId="0" borderId="22" xfId="0" applyBorder="1"/>
    <xf numFmtId="0" fontId="0" fillId="0" borderId="23" xfId="0" applyBorder="1"/>
    <xf numFmtId="0" fontId="0" fillId="0" borderId="62" xfId="0" applyBorder="1"/>
    <xf numFmtId="0" fontId="0" fillId="0" borderId="39" xfId="0" applyBorder="1"/>
    <xf numFmtId="3" fontId="62" fillId="0" borderId="0" xfId="0" applyNumberFormat="1" applyFont="1"/>
    <xf numFmtId="0" fontId="13" fillId="47" borderId="54" xfId="0" applyFont="1" applyFill="1" applyBorder="1" applyAlignment="1">
      <alignment vertical="top" wrapText="1" readingOrder="1"/>
    </xf>
    <xf numFmtId="0" fontId="13" fillId="47" borderId="56" xfId="0" applyFont="1" applyFill="1" applyBorder="1" applyAlignment="1">
      <alignment vertical="top" wrapText="1" readingOrder="1"/>
    </xf>
    <xf numFmtId="0" fontId="13" fillId="46" borderId="51" xfId="0" applyFont="1" applyFill="1" applyBorder="1" applyAlignment="1">
      <alignment vertical="top" wrapText="1" readingOrder="1"/>
    </xf>
    <xf numFmtId="0" fontId="13" fillId="47" borderId="57" xfId="0" applyFont="1" applyFill="1" applyBorder="1" applyAlignment="1">
      <alignment vertical="top" wrapText="1" readingOrder="1"/>
    </xf>
    <xf numFmtId="164" fontId="64" fillId="0" borderId="0" xfId="1" applyNumberFormat="1" applyFont="1" applyAlignment="1">
      <alignment horizontal="center"/>
    </xf>
    <xf numFmtId="9" fontId="7" fillId="0" borderId="0" xfId="2" applyFont="1" applyAlignment="1">
      <alignment horizontal="center"/>
    </xf>
    <xf numFmtId="9" fontId="6" fillId="0" borderId="0" xfId="0" applyNumberFormat="1" applyFont="1" applyAlignment="1">
      <alignment horizontal="center"/>
    </xf>
    <xf numFmtId="164" fontId="3" fillId="3" borderId="1" xfId="1" applyNumberFormat="1" applyFont="1" applyFill="1" applyBorder="1"/>
    <xf numFmtId="0" fontId="60" fillId="51" borderId="0" xfId="0" quotePrefix="1" applyFont="1" applyFill="1" applyAlignment="1">
      <alignment horizontal="right"/>
    </xf>
    <xf numFmtId="0" fontId="60" fillId="56" borderId="0" xfId="0" applyFont="1" applyFill="1" applyAlignment="1">
      <alignment horizontal="right"/>
    </xf>
    <xf numFmtId="0" fontId="60" fillId="57" borderId="0" xfId="0" applyFont="1" applyFill="1" applyAlignment="1">
      <alignment horizontal="right"/>
    </xf>
    <xf numFmtId="0" fontId="60" fillId="48" borderId="0" xfId="0" applyFont="1" applyFill="1" applyAlignment="1">
      <alignment horizontal="right"/>
    </xf>
    <xf numFmtId="0" fontId="56" fillId="44" borderId="4" xfId="0" applyFont="1" applyFill="1" applyBorder="1" applyAlignment="1">
      <alignment horizontal="center" vertical="center" wrapText="1"/>
    </xf>
    <xf numFmtId="0" fontId="56" fillId="44" borderId="5" xfId="0" applyFont="1" applyFill="1" applyBorder="1" applyAlignment="1">
      <alignment horizontal="center" vertical="center" wrapText="1"/>
    </xf>
    <xf numFmtId="0" fontId="56" fillId="44" borderId="6" xfId="0" applyFont="1" applyFill="1" applyBorder="1" applyAlignment="1">
      <alignment horizontal="center" vertical="center" wrapText="1"/>
    </xf>
    <xf numFmtId="0" fontId="0" fillId="0" borderId="59" xfId="0" applyBorder="1" applyAlignment="1">
      <alignment horizontal="left" vertical="center" wrapText="1"/>
    </xf>
    <xf numFmtId="0" fontId="0" fillId="0" borderId="60" xfId="0" applyBorder="1" applyAlignment="1">
      <alignment horizontal="left" vertical="center" wrapText="1"/>
    </xf>
    <xf numFmtId="0" fontId="51" fillId="43" borderId="4" xfId="0" applyFont="1" applyFill="1" applyBorder="1" applyAlignment="1">
      <alignment horizontal="center" vertical="center" wrapText="1"/>
    </xf>
    <xf numFmtId="0" fontId="51" fillId="43" borderId="5" xfId="0" applyFont="1" applyFill="1" applyBorder="1" applyAlignment="1">
      <alignment horizontal="center" vertical="center" wrapText="1"/>
    </xf>
    <xf numFmtId="0" fontId="51" fillId="43" borderId="6" xfId="0" applyFont="1" applyFill="1" applyBorder="1" applyAlignment="1">
      <alignment horizontal="center" vertical="center" wrapText="1"/>
    </xf>
    <xf numFmtId="0" fontId="55" fillId="44" borderId="4" xfId="0" applyFont="1" applyFill="1" applyBorder="1" applyAlignment="1">
      <alignment horizontal="center" vertical="center" textRotation="90"/>
    </xf>
    <xf numFmtId="0" fontId="55" fillId="44" borderId="5" xfId="0" applyFont="1" applyFill="1" applyBorder="1" applyAlignment="1">
      <alignment horizontal="center" vertical="center" textRotation="90"/>
    </xf>
    <xf numFmtId="0" fontId="55" fillId="44" borderId="6" xfId="0" applyFont="1" applyFill="1" applyBorder="1" applyAlignment="1">
      <alignment horizontal="center" vertical="center" textRotation="90"/>
    </xf>
    <xf numFmtId="0" fontId="12" fillId="45" borderId="4" xfId="0" applyFont="1" applyFill="1" applyBorder="1" applyAlignment="1">
      <alignment horizontal="center" vertical="center" textRotation="90"/>
    </xf>
    <xf numFmtId="0" fontId="12" fillId="45" borderId="5" xfId="0" applyFont="1" applyFill="1" applyBorder="1" applyAlignment="1">
      <alignment horizontal="center" vertical="center" textRotation="90"/>
    </xf>
    <xf numFmtId="0" fontId="12" fillId="45" borderId="6" xfId="0" applyFont="1" applyFill="1" applyBorder="1" applyAlignment="1">
      <alignment horizontal="center" vertical="center" textRotation="90"/>
    </xf>
    <xf numFmtId="0" fontId="14" fillId="46" borderId="4" xfId="0" applyFont="1" applyFill="1" applyBorder="1" applyAlignment="1">
      <alignment horizontal="center" vertical="center" textRotation="90"/>
    </xf>
    <xf numFmtId="0" fontId="14" fillId="46" borderId="5" xfId="0" applyFont="1" applyFill="1" applyBorder="1" applyAlignment="1">
      <alignment horizontal="center" vertical="center" textRotation="90"/>
    </xf>
    <xf numFmtId="0" fontId="14" fillId="46" borderId="6" xfId="0" applyFont="1" applyFill="1" applyBorder="1" applyAlignment="1">
      <alignment horizontal="center" vertical="center" textRotation="90"/>
    </xf>
    <xf numFmtId="0" fontId="63" fillId="48" borderId="61" xfId="0" applyFont="1" applyFill="1" applyBorder="1" applyAlignment="1">
      <alignment horizontal="left" vertical="top" wrapText="1" readingOrder="1"/>
    </xf>
    <xf numFmtId="0" fontId="63" fillId="48" borderId="22" xfId="0" applyFont="1" applyFill="1" applyBorder="1" applyAlignment="1">
      <alignment horizontal="left" vertical="top" wrapText="1" readingOrder="1"/>
    </xf>
    <xf numFmtId="0" fontId="63" fillId="48" borderId="62" xfId="0" applyFont="1" applyFill="1" applyBorder="1" applyAlignment="1">
      <alignment horizontal="left" vertical="top" wrapText="1" readingOrder="1"/>
    </xf>
    <xf numFmtId="0" fontId="43" fillId="0" borderId="47" xfId="14" applyFont="1" applyBorder="1" applyAlignment="1">
      <alignment horizontal="left" vertical="center" wrapText="1"/>
    </xf>
    <xf numFmtId="0" fontId="43" fillId="0" borderId="48" xfId="14" applyFont="1" applyBorder="1" applyAlignment="1">
      <alignment horizontal="left" vertical="center" wrapText="1"/>
    </xf>
    <xf numFmtId="0" fontId="43" fillId="0" borderId="49" xfId="14" applyFont="1" applyBorder="1" applyAlignment="1">
      <alignment horizontal="left" vertical="center" wrapText="1"/>
    </xf>
    <xf numFmtId="0" fontId="24" fillId="0" borderId="9" xfId="0" applyFont="1" applyBorder="1" applyAlignment="1" applyProtection="1">
      <alignment horizontal="center"/>
      <protection hidden="1"/>
    </xf>
    <xf numFmtId="0" fontId="25" fillId="0" borderId="10" xfId="0" applyFont="1" applyBorder="1" applyAlignment="1" applyProtection="1">
      <alignment horizontal="center"/>
      <protection hidden="1"/>
    </xf>
    <xf numFmtId="0" fontId="25" fillId="0" borderId="11" xfId="0" applyFont="1" applyBorder="1" applyAlignment="1" applyProtection="1">
      <alignment horizontal="center"/>
      <protection hidden="1"/>
    </xf>
    <xf numFmtId="0" fontId="17" fillId="0" borderId="30" xfId="0" applyFont="1" applyBorder="1" applyAlignment="1" applyProtection="1">
      <alignment horizontal="left" vertical="center" wrapText="1"/>
      <protection hidden="1"/>
    </xf>
    <xf numFmtId="0" fontId="17" fillId="0" borderId="31" xfId="0" applyFont="1" applyBorder="1" applyAlignment="1" applyProtection="1">
      <alignment horizontal="left" vertical="center" wrapText="1"/>
      <protection hidden="1"/>
    </xf>
    <xf numFmtId="0" fontId="17" fillId="0" borderId="32" xfId="0" applyFont="1" applyBorder="1" applyAlignment="1" applyProtection="1">
      <alignment horizontal="left" vertical="center" wrapText="1"/>
      <protection hidden="1"/>
    </xf>
    <xf numFmtId="0" fontId="17" fillId="0" borderId="28" xfId="0" applyFont="1" applyBorder="1" applyAlignment="1" applyProtection="1">
      <alignment horizontal="center"/>
      <protection hidden="1"/>
    </xf>
    <xf numFmtId="0" fontId="17" fillId="0" borderId="28" xfId="0" applyFont="1" applyBorder="1" applyAlignment="1" applyProtection="1">
      <alignment horizontal="center" vertical="center"/>
      <protection hidden="1"/>
    </xf>
    <xf numFmtId="0" fontId="17" fillId="0" borderId="29" xfId="0" applyFont="1" applyBorder="1" applyAlignment="1" applyProtection="1">
      <alignment horizontal="center" vertical="center"/>
      <protection hidden="1"/>
    </xf>
    <xf numFmtId="0" fontId="17" fillId="0" borderId="16" xfId="0" applyFont="1" applyBorder="1" applyAlignment="1" applyProtection="1">
      <alignment horizontal="center" vertical="center" wrapText="1"/>
      <protection hidden="1"/>
    </xf>
    <xf numFmtId="0" fontId="17" fillId="0" borderId="17" xfId="0" applyFont="1" applyBorder="1" applyAlignment="1" applyProtection="1">
      <alignment horizontal="center" vertical="center" wrapText="1"/>
      <protection hidden="1"/>
    </xf>
    <xf numFmtId="0" fontId="17" fillId="0" borderId="35" xfId="0" applyFont="1" applyBorder="1" applyAlignment="1" applyProtection="1">
      <alignment horizontal="left" vertical="center" wrapText="1"/>
      <protection hidden="1"/>
    </xf>
    <xf numFmtId="0" fontId="17" fillId="0" borderId="36" xfId="0" applyFont="1" applyBorder="1" applyAlignment="1" applyProtection="1">
      <alignment horizontal="left" vertical="center" wrapText="1"/>
      <protection hidden="1"/>
    </xf>
    <xf numFmtId="0" fontId="17" fillId="0" borderId="9" xfId="0" applyFont="1" applyBorder="1" applyAlignment="1" applyProtection="1">
      <alignment horizontal="left" vertical="center" wrapText="1"/>
      <protection hidden="1"/>
    </xf>
    <xf numFmtId="0" fontId="19" fillId="0" borderId="10" xfId="0" applyFont="1" applyBorder="1" applyAlignment="1" applyProtection="1">
      <alignment horizontal="left" vertical="center" wrapText="1"/>
      <protection hidden="1"/>
    </xf>
    <xf numFmtId="0" fontId="19" fillId="0" borderId="38" xfId="0" applyFont="1" applyBorder="1" applyAlignment="1" applyProtection="1">
      <alignment horizontal="left" vertical="center" wrapText="1"/>
      <protection hidden="1"/>
    </xf>
    <xf numFmtId="0" fontId="19" fillId="0" borderId="39" xfId="0" applyFont="1" applyBorder="1" applyAlignment="1" applyProtection="1">
      <alignment horizontal="left" vertical="center" wrapText="1"/>
      <protection hidden="1"/>
    </xf>
    <xf numFmtId="0" fontId="21" fillId="0" borderId="9" xfId="0" applyFont="1" applyBorder="1" applyAlignment="1" applyProtection="1">
      <alignment horizontal="left" vertical="center" wrapText="1"/>
      <protection hidden="1"/>
    </xf>
    <xf numFmtId="0" fontId="19" fillId="0" borderId="11" xfId="0" applyFont="1" applyBorder="1" applyAlignment="1" applyProtection="1">
      <alignment horizontal="left" vertical="center" wrapText="1"/>
      <protection hidden="1"/>
    </xf>
    <xf numFmtId="0" fontId="0" fillId="0" borderId="10" xfId="0" applyBorder="1" applyAlignment="1" applyProtection="1">
      <alignment horizontal="left" vertical="center" wrapText="1"/>
      <protection hidden="1"/>
    </xf>
    <xf numFmtId="0" fontId="0" fillId="0" borderId="11" xfId="0" applyBorder="1" applyAlignment="1" applyProtection="1">
      <alignment horizontal="left" vertical="center" wrapText="1"/>
      <protection hidden="1"/>
    </xf>
    <xf numFmtId="0" fontId="17" fillId="0" borderId="27" xfId="0" applyFont="1" applyBorder="1" applyAlignment="1" applyProtection="1">
      <alignment horizontal="left" vertical="center"/>
      <protection hidden="1"/>
    </xf>
    <xf numFmtId="0" fontId="17" fillId="0" borderId="28" xfId="0" applyFont="1" applyBorder="1" applyAlignment="1" applyProtection="1">
      <alignment horizontal="left" vertical="center"/>
      <protection hidden="1"/>
    </xf>
    <xf numFmtId="0" fontId="17" fillId="0" borderId="30" xfId="0" applyFont="1" applyBorder="1" applyAlignment="1" applyProtection="1">
      <alignment horizontal="left"/>
      <protection hidden="1"/>
    </xf>
    <xf numFmtId="0" fontId="17" fillId="0" borderId="31" xfId="0" applyFont="1" applyBorder="1" applyAlignment="1" applyProtection="1">
      <alignment horizontal="left"/>
      <protection hidden="1"/>
    </xf>
    <xf numFmtId="0" fontId="17" fillId="0" borderId="32" xfId="0" applyFont="1" applyBorder="1" applyAlignment="1" applyProtection="1">
      <alignment horizontal="left"/>
      <protection hidden="1"/>
    </xf>
    <xf numFmtId="0" fontId="17" fillId="0" borderId="29" xfId="0" applyFont="1" applyBorder="1" applyAlignment="1" applyProtection="1">
      <alignment horizontal="center"/>
      <protection hidden="1"/>
    </xf>
    <xf numFmtId="0" fontId="17" fillId="0" borderId="10" xfId="0" applyFont="1" applyBorder="1" applyAlignment="1" applyProtection="1">
      <alignment horizontal="left" vertical="center" wrapText="1"/>
      <protection hidden="1"/>
    </xf>
    <xf numFmtId="0" fontId="17" fillId="0" borderId="11" xfId="0" applyFont="1" applyBorder="1" applyAlignment="1" applyProtection="1">
      <alignment horizontal="left" vertical="center" wrapText="1"/>
      <protection hidden="1"/>
    </xf>
    <xf numFmtId="0" fontId="17" fillId="0" borderId="20" xfId="0" applyFont="1" applyBorder="1" applyAlignment="1" applyProtection="1">
      <alignment horizontal="left" vertical="center" wrapText="1"/>
      <protection hidden="1"/>
    </xf>
    <xf numFmtId="0" fontId="17" fillId="0" borderId="21" xfId="0" applyFont="1" applyBorder="1" applyAlignment="1" applyProtection="1">
      <alignment horizontal="left" vertical="center" wrapText="1"/>
      <protection hidden="1"/>
    </xf>
    <xf numFmtId="0" fontId="17" fillId="0" borderId="24" xfId="0" applyFont="1" applyBorder="1" applyAlignment="1" applyProtection="1">
      <alignment horizontal="center"/>
      <protection hidden="1"/>
    </xf>
    <xf numFmtId="0" fontId="17" fillId="0" borderId="25" xfId="0" applyFont="1" applyBorder="1" applyAlignment="1" applyProtection="1">
      <alignment horizontal="center"/>
      <protection hidden="1"/>
    </xf>
    <xf numFmtId="0" fontId="17" fillId="0" borderId="27" xfId="0" applyFont="1" applyBorder="1" applyAlignment="1" applyProtection="1">
      <alignment horizontal="center"/>
      <protection hidden="1"/>
    </xf>
    <xf numFmtId="0" fontId="17" fillId="0" borderId="26" xfId="0" applyFont="1" applyBorder="1" applyAlignment="1" applyProtection="1">
      <alignment horizontal="center"/>
      <protection hidden="1"/>
    </xf>
    <xf numFmtId="0" fontId="16" fillId="0" borderId="9" xfId="0" applyFont="1" applyBorder="1" applyAlignment="1" applyProtection="1">
      <alignment horizontal="center" vertical="center" wrapText="1"/>
      <protection hidden="1"/>
    </xf>
    <xf numFmtId="0" fontId="16" fillId="0" borderId="10" xfId="0" applyFont="1" applyBorder="1" applyAlignment="1" applyProtection="1">
      <alignment horizontal="center" vertical="center" wrapText="1"/>
      <protection hidden="1"/>
    </xf>
    <xf numFmtId="0" fontId="16" fillId="0" borderId="11" xfId="0" applyFont="1" applyBorder="1" applyAlignment="1" applyProtection="1">
      <alignment horizontal="center" vertical="center" wrapText="1"/>
      <protection hidden="1"/>
    </xf>
    <xf numFmtId="0" fontId="17" fillId="0" borderId="13" xfId="0" applyFont="1" applyBorder="1" applyAlignment="1" applyProtection="1">
      <alignment horizontal="center" vertical="center"/>
      <protection hidden="1"/>
    </xf>
    <xf numFmtId="0" fontId="17" fillId="0" borderId="14" xfId="0" applyFont="1" applyBorder="1" applyAlignment="1" applyProtection="1">
      <alignment horizontal="center" vertical="center"/>
      <protection hidden="1"/>
    </xf>
    <xf numFmtId="0" fontId="19" fillId="0" borderId="16" xfId="0" applyFont="1" applyBorder="1" applyAlignment="1" applyProtection="1">
      <alignment horizontal="left" vertical="center" wrapText="1"/>
      <protection hidden="1"/>
    </xf>
    <xf numFmtId="0" fontId="19" fillId="0" borderId="17" xfId="0" applyFont="1" applyBorder="1" applyAlignment="1" applyProtection="1">
      <alignment horizontal="left" vertical="center" wrapText="1"/>
      <protection hidden="1"/>
    </xf>
    <xf numFmtId="0" fontId="19" fillId="0" borderId="18" xfId="0" applyFont="1" applyBorder="1" applyAlignment="1" applyProtection="1">
      <alignment horizontal="left" vertical="center" wrapText="1"/>
      <protection hidden="1"/>
    </xf>
    <xf numFmtId="0" fontId="17" fillId="0" borderId="7" xfId="0" applyFont="1" applyBorder="1" applyAlignment="1" applyProtection="1">
      <alignment horizontal="center" vertical="center" wrapText="1"/>
      <protection hidden="1"/>
    </xf>
    <xf numFmtId="0" fontId="17" fillId="0" borderId="7" xfId="0" applyFont="1" applyBorder="1" applyAlignment="1" applyProtection="1">
      <alignment horizontal="center" vertical="center"/>
      <protection hidden="1"/>
    </xf>
    <xf numFmtId="0" fontId="17" fillId="0" borderId="4" xfId="0" applyFont="1" applyBorder="1" applyAlignment="1" applyProtection="1">
      <alignment horizontal="center" vertical="center" wrapText="1"/>
      <protection hidden="1"/>
    </xf>
    <xf numFmtId="0" fontId="17" fillId="0" borderId="5" xfId="0" applyFont="1" applyBorder="1" applyAlignment="1" applyProtection="1">
      <alignment horizontal="center" vertical="center" wrapText="1"/>
      <protection hidden="1"/>
    </xf>
    <xf numFmtId="0" fontId="17" fillId="0" borderId="6" xfId="0" applyFont="1" applyBorder="1" applyAlignment="1" applyProtection="1">
      <alignment horizontal="center" vertical="center" wrapText="1"/>
      <protection hidden="1"/>
    </xf>
    <xf numFmtId="0" fontId="17" fillId="0" borderId="19" xfId="0" applyFont="1" applyBorder="1" applyAlignment="1" applyProtection="1">
      <alignment horizontal="center" vertical="center" wrapText="1"/>
      <protection hidden="1"/>
    </xf>
    <xf numFmtId="0" fontId="17" fillId="0" borderId="20" xfId="0" applyFont="1" applyBorder="1" applyAlignment="1" applyProtection="1">
      <alignment horizontal="center" vertical="center" wrapText="1"/>
      <protection hidden="1"/>
    </xf>
    <xf numFmtId="0" fontId="17" fillId="0" borderId="21" xfId="0" applyFont="1" applyBorder="1" applyAlignment="1" applyProtection="1">
      <alignment horizontal="center" vertical="center" wrapText="1"/>
      <protection hidden="1"/>
    </xf>
    <xf numFmtId="0" fontId="17" fillId="0" borderId="22" xfId="0" applyFont="1" applyBorder="1" applyAlignment="1" applyProtection="1">
      <alignment horizontal="center" vertical="center" wrapText="1"/>
      <protection hidden="1"/>
    </xf>
    <xf numFmtId="0" fontId="17" fillId="0" borderId="0" xfId="0" applyFont="1" applyAlignment="1" applyProtection="1">
      <alignment horizontal="center" vertical="center" wrapText="1"/>
      <protection hidden="1"/>
    </xf>
    <xf numFmtId="0" fontId="17" fillId="0" borderId="23" xfId="0" applyFont="1" applyBorder="1" applyAlignment="1" applyProtection="1">
      <alignment horizontal="center" vertical="center" wrapText="1"/>
      <protection hidden="1"/>
    </xf>
    <xf numFmtId="164" fontId="28" fillId="10" borderId="1" xfId="1" applyNumberFormat="1" applyFont="1" applyFill="1" applyBorder="1"/>
    <xf numFmtId="3" fontId="7" fillId="9" borderId="1" xfId="4" applyNumberFormat="1" applyFont="1" applyFill="1" applyAlignment="1">
      <alignment horizontal="center"/>
    </xf>
  </cellXfs>
  <cellStyles count="55">
    <cellStyle name="20% - Accent1" xfId="30" builtinId="30" customBuiltin="1"/>
    <cellStyle name="20% - Accent2" xfId="34" builtinId="34" customBuiltin="1"/>
    <cellStyle name="20% - Accent3" xfId="37" builtinId="38" customBuiltin="1"/>
    <cellStyle name="20% - Accent4" xfId="41" builtinId="42" customBuiltin="1"/>
    <cellStyle name="20% - Accent5" xfId="45" builtinId="46" customBuiltin="1"/>
    <cellStyle name="20% - Accent6" xfId="48" builtinId="50" customBuiltin="1"/>
    <cellStyle name="40% - Accent1" xfId="31" builtinId="31" customBuiltin="1"/>
    <cellStyle name="40% - Accent2" xfId="35" builtinId="35" customBuiltin="1"/>
    <cellStyle name="40% - Accent3" xfId="38" builtinId="39" customBuiltin="1"/>
    <cellStyle name="40% - Accent4" xfId="42" builtinId="43" customBuiltin="1"/>
    <cellStyle name="40% - Accent5" xfId="46" builtinId="47" customBuiltin="1"/>
    <cellStyle name="40% - Accent6" xfId="49" builtinId="51" customBuiltin="1"/>
    <cellStyle name="60% - Accent1" xfId="32" builtinId="32" customBuiltin="1"/>
    <cellStyle name="60% - Accent2" xfId="36" builtinId="36" customBuiltin="1"/>
    <cellStyle name="60% - Accent3" xfId="39" builtinId="40" customBuiltin="1"/>
    <cellStyle name="60% - Accent4" xfId="43" builtinId="44" customBuiltin="1"/>
    <cellStyle name="60% - Accent5" xfId="47" builtinId="48" customBuiltin="1"/>
    <cellStyle name="60% - Accent6" xfId="50" builtinId="52" customBuiltin="1"/>
    <cellStyle name="Accent1" xfId="29" builtinId="29" customBuiltin="1"/>
    <cellStyle name="Accent2" xfId="33" builtinId="33" customBuiltin="1"/>
    <cellStyle name="Accent3" xfId="10" builtinId="37" customBuiltin="1"/>
    <cellStyle name="Accent4" xfId="40" builtinId="41" customBuiltin="1"/>
    <cellStyle name="Accent5" xfId="44" builtinId="45" customBuiltin="1"/>
    <cellStyle name="Accent6" xfId="11" builtinId="49" customBuiltin="1"/>
    <cellStyle name="Bad" xfId="3" builtinId="27" customBuiltin="1"/>
    <cellStyle name="Calculation" xfId="8" builtinId="22" customBuiltin="1"/>
    <cellStyle name="Check Cell" xfId="26" builtinId="23" customBuiltin="1"/>
    <cellStyle name="Comma" xfId="1" builtinId="3"/>
    <cellStyle name="Comma 2" xfId="17" xr:uid="{95C566D2-E8E8-41D2-BC0D-4BE12EE9CE65}"/>
    <cellStyle name="Comma 2 2" xfId="54" xr:uid="{F6698D43-A885-461C-943C-69A51CE9060A}"/>
    <cellStyle name="Comma 3" xfId="52" xr:uid="{5EA82217-CBAF-4C2C-9A51-75085F747435}"/>
    <cellStyle name="Currency 2" xfId="53" xr:uid="{DEF011AA-5AA3-4C52-91FA-60249D927E98}"/>
    <cellStyle name="Explanatory Text" xfId="6" builtinId="53" customBuiltin="1"/>
    <cellStyle name="Good" xfId="12" builtinId="26" customBuiltin="1"/>
    <cellStyle name="Heading 1" xfId="21" builtinId="16" customBuiltin="1"/>
    <cellStyle name="Heading 2" xfId="22" builtinId="17" customBuiltin="1"/>
    <cellStyle name="Heading 3" xfId="23" builtinId="18" customBuiltin="1"/>
    <cellStyle name="Heading 4" xfId="24" builtinId="19" customBuiltin="1"/>
    <cellStyle name="Input" xfId="4" builtinId="20" customBuiltin="1"/>
    <cellStyle name="Linked Cell" xfId="9" builtinId="24" customBuiltin="1"/>
    <cellStyle name="Neutral" xfId="25" builtinId="28" customBuiltin="1"/>
    <cellStyle name="Neutral 2" xfId="16" xr:uid="{095AA8BD-E73C-44FB-858A-2109B2FEF470}"/>
    <cellStyle name="Normal" xfId="0" builtinId="0"/>
    <cellStyle name="Normal 10 2" xfId="13" xr:uid="{E25DB395-7A31-48F8-8214-AE17FB980D1F}"/>
    <cellStyle name="Normal 10 2 2" xfId="18" xr:uid="{F613F88D-0D8A-47F4-83D6-FAFFB51A874E}"/>
    <cellStyle name="Normal 10 3" xfId="19" xr:uid="{40D4D56A-F718-4D74-8081-823895C83182}"/>
    <cellStyle name="Normal 2" xfId="14" xr:uid="{F6C5B740-20BE-4422-A771-C5E9CBA4269F}"/>
    <cellStyle name="Normal 3" xfId="51" xr:uid="{B9E77F6F-EF0E-431A-B9BE-303AB460AEF8}"/>
    <cellStyle name="Note" xfId="5" builtinId="10" customBuiltin="1"/>
    <cellStyle name="Output" xfId="7" builtinId="21" customBuiltin="1"/>
    <cellStyle name="Percent" xfId="2" builtinId="5"/>
    <cellStyle name="Percent 2" xfId="15" xr:uid="{C4441FD0-482B-464F-8E55-61E35B64F949}"/>
    <cellStyle name="Title" xfId="20" builtinId="15" customBuiltin="1"/>
    <cellStyle name="Total" xfId="28" builtinId="25" customBuiltin="1"/>
    <cellStyle name="Warning Text" xfId="27" builtinId="11" customBuiltin="1"/>
  </cellStyles>
  <dxfs count="27">
    <dxf>
      <font>
        <color rgb="FFFF9999"/>
      </font>
      <fill>
        <patternFill patternType="solid">
          <bgColor rgb="FFFF0000"/>
        </patternFill>
      </fill>
    </dxf>
    <dxf>
      <font>
        <color rgb="FF00B050"/>
      </font>
      <fill>
        <patternFill>
          <bgColor theme="9" tint="0.59996337778862885"/>
        </patternFill>
      </fill>
    </dxf>
    <dxf>
      <font>
        <color rgb="FF9C5700"/>
      </font>
      <fill>
        <patternFill>
          <bgColor rgb="FFFFEB9C"/>
        </patternFill>
      </fill>
    </dxf>
    <dxf>
      <font>
        <color theme="0"/>
      </font>
      <fill>
        <patternFill>
          <bgColor theme="1"/>
        </patternFill>
      </fill>
    </dxf>
    <dxf>
      <font>
        <color rgb="FFC00000"/>
      </font>
      <fill>
        <patternFill>
          <bgColor rgb="FFFF9999"/>
        </patternFill>
      </fill>
    </dxf>
    <dxf>
      <font>
        <color rgb="FFFF9999"/>
      </font>
      <fill>
        <patternFill patternType="solid">
          <bgColor rgb="FFFF0000"/>
        </patternFill>
      </fill>
    </dxf>
    <dxf>
      <font>
        <color rgb="FFFF9999"/>
      </font>
      <fill>
        <patternFill patternType="solid">
          <bgColor rgb="FFFF0000"/>
        </patternFill>
      </fill>
    </dxf>
    <dxf>
      <font>
        <condense val="0"/>
        <extend val="0"/>
        <color rgb="FF9C0006"/>
      </font>
      <fill>
        <patternFill>
          <bgColor rgb="FFFFC7CE"/>
        </patternFill>
      </fill>
    </dxf>
    <dxf>
      <numFmt numFmtId="0" formatCode="General"/>
      <alignment horizontal="general" vertical="bottom" textRotation="0" wrapText="1" indent="0" justifyLastLine="0" shrinkToFit="0" readingOrder="0"/>
      <border diagonalUp="0" diagonalDown="0" outline="0">
        <left style="medium">
          <color rgb="FFA59F9F"/>
        </left>
        <right style="medium">
          <color rgb="FFA59F9F"/>
        </right>
        <top style="medium">
          <color rgb="FFA59F9F"/>
        </top>
        <bottom/>
      </border>
    </dxf>
    <dxf>
      <numFmt numFmtId="0" formatCode="General"/>
      <alignment horizontal="general" vertical="bottom" textRotation="0" wrapText="1" indent="0" justifyLastLine="0" shrinkToFit="0" readingOrder="0"/>
      <border diagonalUp="0" diagonalDown="0">
        <left style="medium">
          <color rgb="FFA59F9F"/>
        </left>
        <right style="medium">
          <color rgb="FFA59F9F"/>
        </right>
        <top style="medium">
          <color rgb="FFA59F9F"/>
        </top>
        <bottom style="medium">
          <color rgb="FFA59F9F"/>
        </bottom>
        <vertical/>
        <horizontal/>
      </border>
    </dxf>
    <dxf>
      <alignment horizontal="general" vertical="bottom" textRotation="0" wrapText="1" indent="0" justifyLastLine="0" shrinkToFit="0" readingOrder="0"/>
      <border diagonalUp="0" diagonalDown="0" outline="0">
        <left style="medium">
          <color rgb="FFA59F9F"/>
        </left>
        <right/>
        <top style="medium">
          <color rgb="FFA59F9F"/>
        </top>
        <bottom/>
      </border>
    </dxf>
    <dxf>
      <alignment horizontal="general" vertical="bottom" textRotation="0" wrapText="1" indent="0" justifyLastLine="0" shrinkToFit="0" readingOrder="0"/>
      <border diagonalUp="0" diagonalDown="0">
        <left style="medium">
          <color rgb="FFA59F9F"/>
        </left>
        <right/>
        <top style="medium">
          <color rgb="FFA59F9F"/>
        </top>
        <bottom style="medium">
          <color rgb="FFA59F9F"/>
        </bottom>
        <vertical/>
        <horizontal/>
      </border>
    </dxf>
    <dxf>
      <alignment horizontal="general" vertical="bottom" textRotation="0" wrapText="1" indent="0" justifyLastLine="0" shrinkToFit="0" readingOrder="0"/>
      <border diagonalUp="0" diagonalDown="0" outline="0">
        <left style="medium">
          <color rgb="FFA59F9F"/>
        </left>
        <right style="medium">
          <color rgb="FFA59F9F"/>
        </right>
        <top style="medium">
          <color rgb="FFA59F9F"/>
        </top>
        <bottom/>
      </border>
    </dxf>
    <dxf>
      <alignment horizontal="general" vertical="bottom" textRotation="0" wrapText="1" indent="0" justifyLastLine="0" shrinkToFit="0" readingOrder="0"/>
      <border diagonalUp="0" diagonalDown="0">
        <left style="medium">
          <color rgb="FFA59F9F"/>
        </left>
        <right style="medium">
          <color rgb="FFA59F9F"/>
        </right>
        <top style="medium">
          <color rgb="FFA59F9F"/>
        </top>
        <bottom style="medium">
          <color rgb="FFA59F9F"/>
        </bottom>
        <vertical/>
        <horizontal/>
      </border>
    </dxf>
    <dxf>
      <alignment horizontal="general" vertical="bottom" textRotation="0" wrapText="1" indent="0" justifyLastLine="0" shrinkToFit="0" readingOrder="0"/>
      <border diagonalUp="0" diagonalDown="0" outline="0">
        <left style="medium">
          <color rgb="FFA59F9F"/>
        </left>
        <right style="medium">
          <color rgb="FFA59F9F"/>
        </right>
        <top style="medium">
          <color rgb="FFA59F9F"/>
        </top>
        <bottom/>
      </border>
    </dxf>
    <dxf>
      <alignment horizontal="general" vertical="bottom" textRotation="0" wrapText="1" indent="0" justifyLastLine="0" shrinkToFit="0" readingOrder="0"/>
      <border diagonalUp="0" diagonalDown="0">
        <left style="medium">
          <color rgb="FFA59F9F"/>
        </left>
        <right style="medium">
          <color rgb="FFA59F9F"/>
        </right>
        <top style="medium">
          <color rgb="FFA59F9F"/>
        </top>
        <bottom style="medium">
          <color rgb="FFA59F9F"/>
        </bottom>
        <vertical/>
        <horizontal/>
      </border>
    </dxf>
    <dxf>
      <alignment horizontal="general" vertical="bottom" textRotation="0" wrapText="1" indent="0" justifyLastLine="0" shrinkToFit="0" readingOrder="0"/>
      <border diagonalUp="0" diagonalDown="0" outline="0">
        <left style="medium">
          <color rgb="FFA59F9F"/>
        </left>
        <right style="medium">
          <color rgb="FFA59F9F"/>
        </right>
        <top style="medium">
          <color rgb="FFA59F9F"/>
        </top>
        <bottom/>
      </border>
    </dxf>
    <dxf>
      <alignment horizontal="general" vertical="bottom" textRotation="0" wrapText="1" indent="0" justifyLastLine="0" shrinkToFit="0" readingOrder="0"/>
      <border diagonalUp="0" diagonalDown="0">
        <left style="medium">
          <color rgb="FFA59F9F"/>
        </left>
        <right style="medium">
          <color rgb="FFA59F9F"/>
        </right>
        <top style="medium">
          <color rgb="FFA59F9F"/>
        </top>
        <bottom style="medium">
          <color rgb="FFA59F9F"/>
        </bottom>
        <vertical/>
        <horizontal/>
      </border>
    </dxf>
    <dxf>
      <alignment horizontal="general" vertical="bottom" textRotation="0" wrapText="1" indent="0" justifyLastLine="0" shrinkToFit="0" readingOrder="0"/>
      <border diagonalUp="0" diagonalDown="0" outline="0">
        <left style="medium">
          <color rgb="FFA59F9F"/>
        </left>
        <right style="medium">
          <color rgb="FFA59F9F"/>
        </right>
        <top style="medium">
          <color rgb="FFA59F9F"/>
        </top>
        <bottom/>
      </border>
    </dxf>
    <dxf>
      <alignment horizontal="general" vertical="bottom" textRotation="0" wrapText="1" indent="0" justifyLastLine="0" shrinkToFit="0" readingOrder="0"/>
      <border diagonalUp="0" diagonalDown="0">
        <left style="medium">
          <color rgb="FFA59F9F"/>
        </left>
        <right style="medium">
          <color rgb="FFA59F9F"/>
        </right>
        <top style="medium">
          <color rgb="FFA59F9F"/>
        </top>
        <bottom style="medium">
          <color rgb="FFA59F9F"/>
        </bottom>
        <vertical/>
        <horizontal/>
      </border>
    </dxf>
    <dxf>
      <alignment horizontal="general" vertical="bottom" textRotation="0" wrapText="1" indent="0" justifyLastLine="0" shrinkToFit="0" readingOrder="0"/>
      <border diagonalUp="0" diagonalDown="0" outline="0">
        <left/>
        <right style="medium">
          <color rgb="FFA59F9F"/>
        </right>
        <top style="medium">
          <color rgb="FFA59F9F"/>
        </top>
        <bottom/>
      </border>
    </dxf>
    <dxf>
      <alignment horizontal="general" vertical="bottom" textRotation="0" wrapText="1" indent="0" justifyLastLine="0" shrinkToFit="0" readingOrder="0"/>
      <border diagonalUp="0" diagonalDown="0">
        <left/>
        <right style="medium">
          <color rgb="FFA59F9F"/>
        </right>
        <top style="medium">
          <color rgb="FFA59F9F"/>
        </top>
        <bottom style="medium">
          <color rgb="FFA59F9F"/>
        </bottom>
        <vertical/>
        <horizontal/>
      </border>
    </dxf>
    <dxf>
      <border outline="0">
        <top style="medium">
          <color rgb="FFA59F9F"/>
        </top>
      </border>
    </dxf>
    <dxf>
      <border outline="0">
        <left style="medium">
          <color rgb="FFA59F9F"/>
        </left>
        <right style="medium">
          <color rgb="FFA59F9F"/>
        </right>
        <top style="medium">
          <color rgb="FFA59F9F"/>
        </top>
        <bottom style="medium">
          <color rgb="FFA59F9F"/>
        </bottom>
      </border>
    </dxf>
    <dxf>
      <alignment horizontal="general" vertical="bottom" textRotation="0" wrapText="1" indent="0" justifyLastLine="0" shrinkToFit="0" readingOrder="0"/>
    </dxf>
    <dxf>
      <border outline="0">
        <bottom style="medium">
          <color rgb="FFA59F9F"/>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medium">
          <color rgb="FFA59F9F"/>
        </left>
        <right style="medium">
          <color rgb="FFA59F9F"/>
        </right>
        <top/>
        <bottom/>
      </border>
    </dxf>
  </dxfs>
  <tableStyles count="0" defaultTableStyle="TableStyleMedium2" defaultPivotStyle="PivotStyleLight16"/>
  <colors>
    <mruColors>
      <color rgb="FFF68AEC"/>
      <color rgb="FFFBD1F7"/>
      <color rgb="FFF14DE1"/>
      <color rgb="FF4DE7E3"/>
      <color rgb="FFFF9999"/>
      <color rgb="FFFF0000"/>
      <color rgb="FF000000"/>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calcChain" Target="calcChain.xml"/></Relationships>
</file>

<file path=xl/charts/_rels/chart1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Balance'!$G$91,'Water Balance'!$G$99,'Water Balance'!$G$108,'Water Balance'!$G$111)</c:f>
              <c:numCache>
                <c:formatCode>#,##0</c:formatCode>
                <c:ptCount val="4"/>
                <c:pt idx="0">
                  <c:v>701019</c:v>
                </c:pt>
                <c:pt idx="1">
                  <c:v>16131.512253668283</c:v>
                </c:pt>
                <c:pt idx="2">
                  <c:v>14994.482450733658</c:v>
                </c:pt>
                <c:pt idx="3">
                  <c:v>241957.45602925483</c:v>
                </c:pt>
              </c:numCache>
            </c:numRef>
          </c:val>
          <c:extLst>
            <c:ext xmlns:c16="http://schemas.microsoft.com/office/drawing/2014/chart" uri="{C3380CC4-5D6E-409C-BE32-E72D297353CC}">
              <c16:uniqueId val="{00000000-5771-42FC-888C-59687956D1FE}"/>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Balance'!$I$91,'Water Balance'!$I$99,'Water Balance'!$I$108,'Water Balance'!$I$111)</c:f>
              <c:numCache>
                <c:formatCode>#,##0</c:formatCode>
                <c:ptCount val="4"/>
                <c:pt idx="0">
                  <c:v>59841.75</c:v>
                </c:pt>
                <c:pt idx="1">
                  <c:v>4843.72</c:v>
                </c:pt>
                <c:pt idx="2">
                  <c:v>1350.6790000000001</c:v>
                </c:pt>
                <c:pt idx="3">
                  <c:v>87807.850999999995</c:v>
                </c:pt>
              </c:numCache>
            </c:numRef>
          </c:val>
          <c:extLst>
            <c:ext xmlns:c16="http://schemas.microsoft.com/office/drawing/2014/chart" uri="{C3380CC4-5D6E-409C-BE32-E72D297353CC}">
              <c16:uniqueId val="{00000000-A19A-4DEC-BC01-394D939811CF}"/>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Balance'!$J$91,'Water Balance'!$J$99,'Water Balance'!$J$108,'Water Balance'!$J$111)</c:f>
              <c:numCache>
                <c:formatCode>#,##0</c:formatCode>
                <c:ptCount val="4"/>
                <c:pt idx="0">
                  <c:v>375201.75</c:v>
                </c:pt>
                <c:pt idx="1">
                  <c:v>8821.8050000000003</c:v>
                </c:pt>
                <c:pt idx="2">
                  <c:v>8255.3960000000006</c:v>
                </c:pt>
                <c:pt idx="3">
                  <c:v>359082.049</c:v>
                </c:pt>
              </c:numCache>
            </c:numRef>
          </c:val>
          <c:extLst>
            <c:ext xmlns:c16="http://schemas.microsoft.com/office/drawing/2014/chart" uri="{C3380CC4-5D6E-409C-BE32-E72D297353CC}">
              <c16:uniqueId val="{00000000-1BFC-49BB-A65C-6B46967EF89D}"/>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Balance'!$L$91,'Water Balance'!$L$99,'Water Balance'!$L$108,'Water Balance'!$L$111)</c:f>
              <c:numCache>
                <c:formatCode>#,##0</c:formatCode>
                <c:ptCount val="4"/>
                <c:pt idx="0">
                  <c:v>976265.5</c:v>
                </c:pt>
                <c:pt idx="1">
                  <c:v>1519.5</c:v>
                </c:pt>
                <c:pt idx="2">
                  <c:v>19525.310000000001</c:v>
                </c:pt>
                <c:pt idx="3">
                  <c:v>-997310.31</c:v>
                </c:pt>
              </c:numCache>
            </c:numRef>
          </c:val>
          <c:extLst>
            <c:ext xmlns:c16="http://schemas.microsoft.com/office/drawing/2014/chart" uri="{C3380CC4-5D6E-409C-BE32-E72D297353CC}">
              <c16:uniqueId val="{00000000-2037-493F-9952-34630EA3F52C}"/>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Balance'!$N$91,'Water Balance'!$N$99,'Water Balance'!$N$108,'Water Balance'!$N$111)</c:f>
              <c:numCache>
                <c:formatCode>#,##0</c:formatCode>
                <c:ptCount val="4"/>
                <c:pt idx="0">
                  <c:v>117128.5</c:v>
                </c:pt>
                <c:pt idx="1">
                  <c:v>1144.75</c:v>
                </c:pt>
                <c:pt idx="2">
                  <c:v>2470.2200000000003</c:v>
                </c:pt>
                <c:pt idx="3">
                  <c:v>6906.53</c:v>
                </c:pt>
              </c:numCache>
            </c:numRef>
          </c:val>
          <c:extLst>
            <c:ext xmlns:c16="http://schemas.microsoft.com/office/drawing/2014/chart" uri="{C3380CC4-5D6E-409C-BE32-E72D297353CC}">
              <c16:uniqueId val="{00000000-ABDC-4422-A4E6-E5719ED6305B}"/>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Balance'!$M$91,'Water Balance'!$M$99,'Water Balance'!$M$108,'Water Balance'!$M$111)</c:f>
              <c:numCache>
                <c:formatCode>#,##0</c:formatCode>
                <c:ptCount val="4"/>
                <c:pt idx="0">
                  <c:v>0</c:v>
                </c:pt>
                <c:pt idx="1">
                  <c:v>2450.5</c:v>
                </c:pt>
                <c:pt idx="2">
                  <c:v>0</c:v>
                </c:pt>
                <c:pt idx="3">
                  <c:v>-2450.5</c:v>
                </c:pt>
              </c:numCache>
            </c:numRef>
          </c:val>
          <c:extLst>
            <c:ext xmlns:c16="http://schemas.microsoft.com/office/drawing/2014/chart" uri="{C3380CC4-5D6E-409C-BE32-E72D297353CC}">
              <c16:uniqueId val="{00000000-7F83-431A-8B26-83A425C1CF93}"/>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Balance'!$O$91,'Water Balance'!$O$99,'Water Balance'!$O$108,'Water Balance'!$O$111)</c:f>
              <c:numCache>
                <c:formatCode>#,##0</c:formatCode>
                <c:ptCount val="4"/>
                <c:pt idx="0">
                  <c:v>4052230</c:v>
                </c:pt>
                <c:pt idx="1">
                  <c:v>58879.34</c:v>
                </c:pt>
                <c:pt idx="2">
                  <c:v>86361.368000000002</c:v>
                </c:pt>
                <c:pt idx="3">
                  <c:v>1119297.2919999999</c:v>
                </c:pt>
              </c:numCache>
            </c:numRef>
          </c:val>
          <c:extLst>
            <c:ext xmlns:c16="http://schemas.microsoft.com/office/drawing/2014/chart" uri="{C3380CC4-5D6E-409C-BE32-E72D297353CC}">
              <c16:uniqueId val="{00000000-94E3-4F4F-9695-0C095D28138B}"/>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Balance'!$P$91,'Water Balance'!$P$99,'Water Balance'!$P$108,'Water Balance'!$P$111)</c:f>
              <c:numCache>
                <c:formatCode>#,##0</c:formatCode>
                <c:ptCount val="4"/>
                <c:pt idx="0">
                  <c:v>3319529</c:v>
                </c:pt>
                <c:pt idx="1">
                  <c:v>44610.41</c:v>
                </c:pt>
                <c:pt idx="2">
                  <c:v>70681.262000000002</c:v>
                </c:pt>
                <c:pt idx="3">
                  <c:v>855861.32799999998</c:v>
                </c:pt>
              </c:numCache>
            </c:numRef>
          </c:val>
          <c:extLst>
            <c:ext xmlns:c16="http://schemas.microsoft.com/office/drawing/2014/chart" uri="{C3380CC4-5D6E-409C-BE32-E72D297353CC}">
              <c16:uniqueId val="{00000000-6F19-4125-AAED-8CB623EF3276}"/>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Balance'!$H$91,'Water Balance'!$H$99,'Water Balance'!$H$108,'Water Balance'!$H$111)</c:f>
              <c:numCache>
                <c:formatCode>#,##0</c:formatCode>
                <c:ptCount val="4"/>
                <c:pt idx="0">
                  <c:v>148518.5</c:v>
                </c:pt>
                <c:pt idx="1">
                  <c:v>2304.165</c:v>
                </c:pt>
                <c:pt idx="2">
                  <c:v>3301.6030000000001</c:v>
                </c:pt>
                <c:pt idx="3">
                  <c:v>177108.73199999999</c:v>
                </c:pt>
              </c:numCache>
            </c:numRef>
          </c:val>
          <c:extLst>
            <c:ext xmlns:c16="http://schemas.microsoft.com/office/drawing/2014/chart" uri="{C3380CC4-5D6E-409C-BE32-E72D297353CC}">
              <c16:uniqueId val="{00000000-A34C-41BE-BF26-3D9A36DFE4E4}"/>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NZ" sz="1600"/>
              <a:t>Real Losses (litres/conn/day)</a:t>
            </a:r>
          </a:p>
        </c:rich>
      </c:tx>
      <c:overlay val="0"/>
    </c:title>
    <c:autoTitleDeleted val="0"/>
    <c:plotArea>
      <c:layout>
        <c:manualLayout>
          <c:layoutTarget val="inner"/>
          <c:xMode val="edge"/>
          <c:yMode val="edge"/>
          <c:x val="3.2490585563572601E-2"/>
          <c:y val="0.25672797053131552"/>
          <c:w val="0.95798474937067057"/>
          <c:h val="0.62720805261438572"/>
        </c:manualLayout>
      </c:layout>
      <c:barChart>
        <c:barDir val="col"/>
        <c:grouping val="clustered"/>
        <c:varyColors val="0"/>
        <c:ser>
          <c:idx val="0"/>
          <c:order val="0"/>
          <c:tx>
            <c:strRef>
              <c:f>'Water Balance'!$D$111</c:f>
              <c:strCache>
                <c:ptCount val="1"/>
                <c:pt idx="0">
                  <c:v>Current Annual Real Losses (CARL)</c:v>
                </c:pt>
              </c:strCache>
            </c:strRef>
          </c:tx>
          <c:spPr>
            <a:solidFill>
              <a:schemeClr val="accent4"/>
            </a:solidFill>
          </c:spPr>
          <c:invertIfNegative val="0"/>
          <c:dLbls>
            <c:dLbl>
              <c:idx val="1"/>
              <c:layout>
                <c:manualLayout>
                  <c:x val="0"/>
                  <c:y val="1.94648768175999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DF5-4DF8-94D3-B540ADC3CFE9}"/>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Balance'!$G$113:$S$113</c15:sqref>
                  </c15:fullRef>
                </c:ext>
              </c:extLst>
              <c:f>('Water Balance'!$G$113:$K$113,'Water Balance'!$N$113:$S$113)</c:f>
              <c:numCache>
                <c:formatCode>0</c:formatCode>
                <c:ptCount val="11"/>
                <c:pt idx="0">
                  <c:v>379.28051946937603</c:v>
                </c:pt>
                <c:pt idx="1">
                  <c:v>918.2232245621675</c:v>
                </c:pt>
                <c:pt idx="2">
                  <c:v>821.61699041844452</c:v>
                </c:pt>
                <c:pt idx="3">
                  <c:v>825.84048361575674</c:v>
                </c:pt>
                <c:pt idx="4">
                  <c:v>206.02586124045831</c:v>
                </c:pt>
                <c:pt idx="5">
                  <c:v>72.858303268139323</c:v>
                </c:pt>
                <c:pt idx="6">
                  <c:v>245.73638589026689</c:v>
                </c:pt>
                <c:pt idx="7">
                  <c:v>272.60654336229288</c:v>
                </c:pt>
                <c:pt idx="8">
                  <c:v>320.48469945355191</c:v>
                </c:pt>
                <c:pt idx="9">
                  <c:v>1814.3169398907105</c:v>
                </c:pt>
                <c:pt idx="10">
                  <c:v>188.06909355763153</c:v>
                </c:pt>
              </c:numCache>
            </c:numRef>
          </c:val>
          <c:extLst>
            <c:ext xmlns:c16="http://schemas.microsoft.com/office/drawing/2014/chart" uri="{C3380CC4-5D6E-409C-BE32-E72D297353CC}">
              <c16:uniqueId val="{00000000-207B-414A-9DE4-8A46B1A922FA}"/>
            </c:ext>
          </c:extLst>
        </c:ser>
        <c:ser>
          <c:idx val="1"/>
          <c:order val="1"/>
          <c:tx>
            <c:strRef>
              <c:f>'Water Balance'!$D$115</c:f>
              <c:strCache>
                <c:ptCount val="1"/>
                <c:pt idx="0">
                  <c:v>Unavoidable Annual Real Losses (UARL)</c:v>
                </c:pt>
              </c:strCache>
            </c:strRef>
          </c:tx>
          <c:spPr>
            <a:solidFill>
              <a:schemeClr val="accent5"/>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Balance'!$G$118:$S$118</c15:sqref>
                  </c15:fullRef>
                </c:ext>
              </c:extLst>
              <c:f>('Water Balance'!$G$118:$K$118,'Water Balance'!$N$118:$S$118)</c:f>
              <c:numCache>
                <c:formatCode>#,##0</c:formatCode>
                <c:ptCount val="11"/>
                <c:pt idx="0">
                  <c:v>70.814985796901908</c:v>
                </c:pt>
                <c:pt idx="1">
                  <c:v>94.717895028463005</c:v>
                </c:pt>
                <c:pt idx="2">
                  <c:v>62.576649315068494</c:v>
                </c:pt>
                <c:pt idx="3">
                  <c:v>100.42939393939396</c:v>
                </c:pt>
                <c:pt idx="4">
                  <c:v>80.600546303501943</c:v>
                </c:pt>
                <c:pt idx="5">
                  <c:v>96.610895752895772</c:v>
                </c:pt>
                <c:pt idx="6">
                  <c:v>73.427143913218174</c:v>
                </c:pt>
                <c:pt idx="7">
                  <c:v>77.817121939846118</c:v>
                </c:pt>
                <c:pt idx="8">
                  <c:v>1786.4000000000003</c:v>
                </c:pt>
                <c:pt idx="9">
                  <c:v>978.5428571428572</c:v>
                </c:pt>
                <c:pt idx="10">
                  <c:v>75.325188660321245</c:v>
                </c:pt>
              </c:numCache>
            </c:numRef>
          </c:val>
          <c:extLst>
            <c:ext xmlns:c16="http://schemas.microsoft.com/office/drawing/2014/chart" uri="{C3380CC4-5D6E-409C-BE32-E72D297353CC}">
              <c16:uniqueId val="{00000001-207B-414A-9DE4-8A46B1A922FA}"/>
            </c:ext>
          </c:extLst>
        </c:ser>
        <c:dLbls>
          <c:showLegendKey val="0"/>
          <c:showVal val="0"/>
          <c:showCatName val="0"/>
          <c:showSerName val="0"/>
          <c:showPercent val="0"/>
          <c:showBubbleSize val="0"/>
        </c:dLbls>
        <c:gapWidth val="150"/>
        <c:axId val="558197400"/>
        <c:axId val="558197792"/>
      </c:barChart>
      <c:catAx>
        <c:axId val="558197400"/>
        <c:scaling>
          <c:orientation val="minMax"/>
        </c:scaling>
        <c:delete val="0"/>
        <c:axPos val="b"/>
        <c:numFmt formatCode="General" sourceLinked="0"/>
        <c:majorTickMark val="out"/>
        <c:minorTickMark val="none"/>
        <c:tickLblPos val="nextTo"/>
        <c:crossAx val="558197792"/>
        <c:crosses val="autoZero"/>
        <c:auto val="1"/>
        <c:lblAlgn val="ctr"/>
        <c:lblOffset val="100"/>
        <c:noMultiLvlLbl val="0"/>
      </c:catAx>
      <c:valAx>
        <c:axId val="558197792"/>
        <c:scaling>
          <c:orientation val="minMax"/>
        </c:scaling>
        <c:delete val="0"/>
        <c:axPos val="l"/>
        <c:majorGridlines/>
        <c:numFmt formatCode="0" sourceLinked="1"/>
        <c:majorTickMark val="out"/>
        <c:minorTickMark val="none"/>
        <c:tickLblPos val="nextTo"/>
        <c:crossAx val="558197400"/>
        <c:crosses val="autoZero"/>
        <c:crossBetween val="between"/>
      </c:valAx>
    </c:plotArea>
    <c:legend>
      <c:legendPos val="t"/>
      <c:overlay val="0"/>
      <c:txPr>
        <a:bodyPr/>
        <a:lstStyle/>
        <a:p>
          <a:pPr>
            <a:defRPr sz="1200"/>
          </a:pPr>
          <a:endParaRPr lang="en-US"/>
        </a:p>
      </c:txPr>
    </c:legend>
    <c:plotVisOnly val="1"/>
    <c:dispBlanksAs val="gap"/>
    <c:showDLblsOverMax val="0"/>
  </c:chart>
  <c:txPr>
    <a:bodyPr/>
    <a:lstStyle/>
    <a:p>
      <a:pPr>
        <a:defRPr sz="1050"/>
      </a:pPr>
      <a:endParaRPr lang="en-US"/>
    </a:p>
  </c:txPr>
  <c:printSettings>
    <c:headerFooter/>
    <c:pageMargins b="0.75000000000000122" l="0.70000000000000062" r="0.70000000000000062" t="0.7500000000000012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Balance'!$K$91,'Water Balance'!$K$99,'Water Balance'!$K$108,'Water Balance'!$K$111)</c:f>
              <c:numCache>
                <c:formatCode>#,##0</c:formatCode>
                <c:ptCount val="4"/>
                <c:pt idx="0">
                  <c:v>976265.5</c:v>
                </c:pt>
                <c:pt idx="1">
                  <c:v>9973.7870000000003</c:v>
                </c:pt>
                <c:pt idx="2">
                  <c:v>20726.0674</c:v>
                </c:pt>
                <c:pt idx="3">
                  <c:v>193792.0455999999</c:v>
                </c:pt>
              </c:numCache>
            </c:numRef>
          </c:val>
          <c:extLst>
            <c:ext xmlns:c16="http://schemas.microsoft.com/office/drawing/2014/chart" uri="{C3380CC4-5D6E-409C-BE32-E72D297353CC}">
              <c16:uniqueId val="{00000000-E541-4384-A052-267E66FD5B3F}"/>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a:pPr>
            <a:r>
              <a:rPr lang="en-NZ" sz="1800"/>
              <a:t>Water Balance 2023/24 </a:t>
            </a:r>
          </a:p>
        </c:rich>
      </c:tx>
      <c:overlay val="0"/>
    </c:title>
    <c:autoTitleDeleted val="0"/>
    <c:plotArea>
      <c:layout/>
      <c:barChart>
        <c:barDir val="col"/>
        <c:grouping val="percentStacked"/>
        <c:varyColors val="0"/>
        <c:ser>
          <c:idx val="2"/>
          <c:order val="0"/>
          <c:tx>
            <c:strRef>
              <c:f>'Water Balance'!$D$143</c:f>
              <c:strCache>
                <c:ptCount val="1"/>
                <c:pt idx="0">
                  <c:v>Water Losses</c:v>
                </c:pt>
              </c:strCache>
            </c:strRef>
          </c:tx>
          <c:invertIfNegative val="0"/>
          <c:dLbls>
            <c:spPr>
              <a:noFill/>
              <a:ln>
                <a:noFill/>
              </a:ln>
              <a:effectLst/>
            </c:spPr>
            <c:txPr>
              <a:bodyPr wrap="square" lIns="38100" tIns="19050" rIns="38100" bIns="19050" anchor="ctr">
                <a:spAutoFit/>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Balance'!$G$143:$S$143</c15:sqref>
                  </c15:fullRef>
                </c:ext>
              </c:extLst>
              <c:f>('Water Balance'!$G$143:$K$143,'Water Balance'!$N$143:$S$143)</c:f>
              <c:numCache>
                <c:formatCode>0%</c:formatCode>
                <c:ptCount val="11"/>
                <c:pt idx="0">
                  <c:v>0.26378327894202719</c:v>
                </c:pt>
                <c:pt idx="1">
                  <c:v>0.54466292609733935</c:v>
                </c:pt>
                <c:pt idx="2">
                  <c:v>0.5795385585398195</c:v>
                </c:pt>
                <c:pt idx="3">
                  <c:v>0.48889607658635464</c:v>
                </c:pt>
                <c:pt idx="4">
                  <c:v>0.17865233476803882</c:v>
                </c:pt>
                <c:pt idx="5">
                  <c:v>7.3456717587152373E-2</c:v>
                </c:pt>
                <c:pt idx="6">
                  <c:v>0.22676533187079065</c:v>
                </c:pt>
                <c:pt idx="7">
                  <c:v>0.21594296431196719</c:v>
                </c:pt>
                <c:pt idx="8">
                  <c:v>0.15311325106677431</c:v>
                </c:pt>
                <c:pt idx="9">
                  <c:v>0.4798790322580645</c:v>
                </c:pt>
                <c:pt idx="10">
                  <c:v>0.17445102413252195</c:v>
                </c:pt>
              </c:numCache>
            </c:numRef>
          </c:val>
          <c:extLst>
            <c:ext xmlns:c16="http://schemas.microsoft.com/office/drawing/2014/chart" uri="{C3380CC4-5D6E-409C-BE32-E72D297353CC}">
              <c16:uniqueId val="{00000000-F646-4D1D-94FE-2A2465C8E32E}"/>
            </c:ext>
          </c:extLst>
        </c:ser>
        <c:ser>
          <c:idx val="1"/>
          <c:order val="1"/>
          <c:tx>
            <c:strRef>
              <c:f>'Water Balance'!$D$141</c:f>
              <c:strCache>
                <c:ptCount val="1"/>
                <c:pt idx="0">
                  <c:v>Non-Residential Billed Consumption</c:v>
                </c:pt>
              </c:strCache>
            </c:strRef>
          </c:tx>
          <c:invertIfNegative val="0"/>
          <c:dLbls>
            <c:spPr>
              <a:noFill/>
              <a:ln>
                <a:noFill/>
              </a:ln>
              <a:effectLst/>
            </c:spPr>
            <c:txPr>
              <a:bodyPr wrap="square" lIns="38100" tIns="19050" rIns="38100" bIns="19050" anchor="ctr">
                <a:spAutoFit/>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Balance'!$G$141:$S$141</c15:sqref>
                  </c15:fullRef>
                </c:ext>
              </c:extLst>
              <c:f>('Water Balance'!$G$141:$K$141,'Water Balance'!$N$141:$S$141)</c:f>
              <c:numCache>
                <c:formatCode>0%</c:formatCode>
                <c:ptCount val="11"/>
                <c:pt idx="0">
                  <c:v>0.21155782930716288</c:v>
                </c:pt>
                <c:pt idx="1">
                  <c:v>9.9615678389532447E-2</c:v>
                </c:pt>
                <c:pt idx="2">
                  <c:v>0.13452263331686642</c:v>
                </c:pt>
                <c:pt idx="3">
                  <c:v>5.7346934429654987E-2</c:v>
                </c:pt>
                <c:pt idx="4">
                  <c:v>0.27436766161091325</c:v>
                </c:pt>
                <c:pt idx="5">
                  <c:v>0.47236976106541323</c:v>
                </c:pt>
                <c:pt idx="6">
                  <c:v>0.3409263861052429</c:v>
                </c:pt>
                <c:pt idx="7">
                  <c:v>0.25067856345448114</c:v>
                </c:pt>
                <c:pt idx="8">
                  <c:v>0.84188674893322568</c:v>
                </c:pt>
                <c:pt idx="9">
                  <c:v>0.5151209677419355</c:v>
                </c:pt>
                <c:pt idx="10">
                  <c:v>0.29981225111359672</c:v>
                </c:pt>
              </c:numCache>
            </c:numRef>
          </c:val>
          <c:extLst>
            <c:ext xmlns:c16="http://schemas.microsoft.com/office/drawing/2014/chart" uri="{C3380CC4-5D6E-409C-BE32-E72D297353CC}">
              <c16:uniqueId val="{00000001-F646-4D1D-94FE-2A2465C8E32E}"/>
            </c:ext>
          </c:extLst>
        </c:ser>
        <c:ser>
          <c:idx val="0"/>
          <c:order val="2"/>
          <c:tx>
            <c:strRef>
              <c:f>'Water Balance'!$D$140</c:f>
              <c:strCache>
                <c:ptCount val="1"/>
                <c:pt idx="0">
                  <c:v>Residential Billed Consumption</c:v>
                </c:pt>
              </c:strCache>
            </c:strRef>
          </c:tx>
          <c:invertIfNegative val="0"/>
          <c:dLbls>
            <c:spPr>
              <a:noFill/>
              <a:ln>
                <a:noFill/>
              </a:ln>
              <a:effectLst/>
            </c:spPr>
            <c:txPr>
              <a:bodyPr wrap="square" lIns="38100" tIns="19050" rIns="38100" bIns="19050" anchor="ctr">
                <a:spAutoFit/>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Balance'!$G$140:$S$140</c15:sqref>
                  </c15:fullRef>
                </c:ext>
              </c:extLst>
              <c:f>('Water Balance'!$G$140:$K$140,'Water Balance'!$N$140:$S$140)</c:f>
              <c:numCache>
                <c:formatCode>0%</c:formatCode>
                <c:ptCount val="11"/>
                <c:pt idx="0">
                  <c:v>0.50809850609371743</c:v>
                </c:pt>
                <c:pt idx="1">
                  <c:v>0.34876506869786522</c:v>
                </c:pt>
                <c:pt idx="2">
                  <c:v>0.25445418735862302</c:v>
                </c:pt>
                <c:pt idx="3">
                  <c:v>0.44201588850100021</c:v>
                </c:pt>
                <c:pt idx="4">
                  <c:v>0.53867375708032283</c:v>
                </c:pt>
                <c:pt idx="5">
                  <c:v>0.44520564042303173</c:v>
                </c:pt>
                <c:pt idx="6">
                  <c:v>0.42123400908220932</c:v>
                </c:pt>
                <c:pt idx="7">
                  <c:v>0.52298142812727677</c:v>
                </c:pt>
                <c:pt idx="8">
                  <c:v>0</c:v>
                </c:pt>
                <c:pt idx="9">
                  <c:v>0</c:v>
                </c:pt>
                <c:pt idx="10">
                  <c:v>0.51432644940601735</c:v>
                </c:pt>
              </c:numCache>
            </c:numRef>
          </c:val>
          <c:extLst>
            <c:ext xmlns:c16="http://schemas.microsoft.com/office/drawing/2014/chart" uri="{C3380CC4-5D6E-409C-BE32-E72D297353CC}">
              <c16:uniqueId val="{00000002-F646-4D1D-94FE-2A2465C8E32E}"/>
            </c:ext>
          </c:extLst>
        </c:ser>
        <c:ser>
          <c:idx val="3"/>
          <c:order val="3"/>
          <c:tx>
            <c:strRef>
              <c:f>'Water Balance'!$D$142</c:f>
              <c:strCache>
                <c:ptCount val="1"/>
                <c:pt idx="0">
                  <c:v>Authorised Unbilled Consumption</c:v>
                </c:pt>
              </c:strCache>
            </c:strRef>
          </c:tx>
          <c:invertIfNegative val="0"/>
          <c:dLbls>
            <c:dLbl>
              <c:idx val="0"/>
              <c:layout>
                <c:manualLayout>
                  <c:x val="0"/>
                  <c:y val="4.40652165204502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646-4D1D-94FE-2A2465C8E32E}"/>
                </c:ext>
              </c:extLst>
            </c:dLbl>
            <c:dLbl>
              <c:idx val="1"/>
              <c:layout>
                <c:manualLayout>
                  <c:x val="0"/>
                  <c:y val="3.6053358971277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646-4D1D-94FE-2A2465C8E32E}"/>
                </c:ext>
              </c:extLst>
            </c:dLbl>
            <c:dLbl>
              <c:idx val="2"/>
              <c:layout>
                <c:manualLayout>
                  <c:x val="0"/>
                  <c:y val="2.80415014221047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646-4D1D-94FE-2A2465C8E32E}"/>
                </c:ext>
              </c:extLst>
            </c:dLbl>
            <c:dLbl>
              <c:idx val="3"/>
              <c:layout>
                <c:manualLayout>
                  <c:x val="0"/>
                  <c:y val="2.80415014221047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646-4D1D-94FE-2A2465C8E32E}"/>
                </c:ext>
              </c:extLst>
            </c:dLbl>
            <c:dLbl>
              <c:idx val="4"/>
              <c:layout>
                <c:manualLayout>
                  <c:x val="-6.3558873117881181E-17"/>
                  <c:y val="3.6053358971277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646-4D1D-94FE-2A2465C8E32E}"/>
                </c:ext>
              </c:extLst>
            </c:dLbl>
            <c:dLbl>
              <c:idx val="5"/>
              <c:layout>
                <c:manualLayout>
                  <c:x val="0"/>
                  <c:y val="3.60533589712774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646-4D1D-94FE-2A2465C8E32E}"/>
                </c:ext>
              </c:extLst>
            </c:dLbl>
            <c:dLbl>
              <c:idx val="6"/>
              <c:layout>
                <c:manualLayout>
                  <c:x val="0"/>
                  <c:y val="3.20474301966911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646-4D1D-94FE-2A2465C8E32E}"/>
                </c:ext>
              </c:extLst>
            </c:dLbl>
            <c:spPr>
              <a:noFill/>
              <a:ln>
                <a:noFill/>
              </a:ln>
              <a:effectLst/>
            </c:spPr>
            <c:txPr>
              <a:bodyPr wrap="square" lIns="38100" tIns="19050" rIns="38100" bIns="19050" anchor="ctr" anchorCtr="0">
                <a:spAutoFit/>
              </a:bodyPr>
              <a:lstStyle/>
              <a:p>
                <a:pPr algn="ctr">
                  <a:defRPr lang="en-US" sz="10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Balance'!$G$142:$S$142</c15:sqref>
                  </c15:fullRef>
                </c:ext>
              </c:extLst>
              <c:f>('Water Balance'!$G$142:$K$142,'Water Balance'!$N$142:$S$142)</c:f>
              <c:numCache>
                <c:formatCode>0%</c:formatCode>
                <c:ptCount val="11"/>
                <c:pt idx="0">
                  <c:v>1.6560385657092478E-2</c:v>
                </c:pt>
                <c:pt idx="1">
                  <c:v>6.9563268152629722E-3</c:v>
                </c:pt>
                <c:pt idx="2">
                  <c:v>3.1484620784690991E-2</c:v>
                </c:pt>
                <c:pt idx="3">
                  <c:v>1.1741100482990201E-2</c:v>
                </c:pt>
                <c:pt idx="4">
                  <c:v>8.3062465407250461E-3</c:v>
                </c:pt>
                <c:pt idx="5">
                  <c:v>8.967880924402663E-3</c:v>
                </c:pt>
                <c:pt idx="6">
                  <c:v>1.1074272941757097E-2</c:v>
                </c:pt>
                <c:pt idx="7">
                  <c:v>1.0397044106274947E-2</c:v>
                </c:pt>
                <c:pt idx="8">
                  <c:v>5.0000000000000001E-3</c:v>
                </c:pt>
                <c:pt idx="9">
                  <c:v>5.0000000000000001E-3</c:v>
                </c:pt>
                <c:pt idx="10">
                  <c:v>1.1410275347863947E-2</c:v>
                </c:pt>
              </c:numCache>
            </c:numRef>
          </c:val>
          <c:extLst>
            <c:ext xmlns:c16="http://schemas.microsoft.com/office/drawing/2014/chart" uri="{C3380CC4-5D6E-409C-BE32-E72D297353CC}">
              <c16:uniqueId val="{00000003-F646-4D1D-94FE-2A2465C8E32E}"/>
            </c:ext>
          </c:extLst>
        </c:ser>
        <c:dLbls>
          <c:showLegendKey val="0"/>
          <c:showVal val="0"/>
          <c:showCatName val="0"/>
          <c:showSerName val="0"/>
          <c:showPercent val="0"/>
          <c:showBubbleSize val="0"/>
        </c:dLbls>
        <c:gapWidth val="150"/>
        <c:overlap val="100"/>
        <c:axId val="558197400"/>
        <c:axId val="558197792"/>
      </c:barChart>
      <c:catAx>
        <c:axId val="558197400"/>
        <c:scaling>
          <c:orientation val="minMax"/>
        </c:scaling>
        <c:delete val="0"/>
        <c:axPos val="b"/>
        <c:numFmt formatCode="General" sourceLinked="0"/>
        <c:majorTickMark val="out"/>
        <c:minorTickMark val="none"/>
        <c:tickLblPos val="nextTo"/>
        <c:crossAx val="558197792"/>
        <c:crosses val="autoZero"/>
        <c:auto val="1"/>
        <c:lblAlgn val="ctr"/>
        <c:lblOffset val="100"/>
        <c:noMultiLvlLbl val="0"/>
      </c:catAx>
      <c:valAx>
        <c:axId val="558197792"/>
        <c:scaling>
          <c:orientation val="minMax"/>
        </c:scaling>
        <c:delete val="0"/>
        <c:axPos val="l"/>
        <c:majorGridlines/>
        <c:numFmt formatCode="0%" sourceLinked="1"/>
        <c:majorTickMark val="out"/>
        <c:minorTickMark val="none"/>
        <c:tickLblPos val="nextTo"/>
        <c:crossAx val="558197400"/>
        <c:crosses val="autoZero"/>
        <c:crossBetween val="between"/>
      </c:valAx>
    </c:plotArea>
    <c:legend>
      <c:legendPos val="t"/>
      <c:overlay val="0"/>
      <c:txPr>
        <a:bodyPr/>
        <a:lstStyle/>
        <a:p>
          <a:pPr>
            <a:defRPr sz="1400"/>
          </a:pPr>
          <a:endParaRPr lang="en-US"/>
        </a:p>
      </c:txPr>
    </c:legend>
    <c:plotVisOnly val="1"/>
    <c:dispBlanksAs val="gap"/>
    <c:showDLblsOverMax val="0"/>
  </c:chart>
  <c:txPr>
    <a:bodyPr/>
    <a:lstStyle/>
    <a:p>
      <a:pPr>
        <a:defRPr sz="1050"/>
      </a:pPr>
      <a:endParaRPr lang="en-US"/>
    </a:p>
  </c:txPr>
  <c:printSettings>
    <c:headerFooter/>
    <c:pageMargins b="0.75000000000000122" l="0.70000000000000062" r="0.70000000000000062" t="0.7500000000000012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NZ" sz="1600"/>
              <a:t>System Input</a:t>
            </a:r>
          </a:p>
          <a:p>
            <a:pPr>
              <a:defRPr sz="1600"/>
            </a:pPr>
            <a:r>
              <a:rPr lang="en-NZ" sz="1600"/>
              <a:t>(litres/conn/day)</a:t>
            </a:r>
          </a:p>
        </c:rich>
      </c:tx>
      <c:overlay val="0"/>
    </c:title>
    <c:autoTitleDeleted val="0"/>
    <c:plotArea>
      <c:layout>
        <c:manualLayout>
          <c:layoutTarget val="inner"/>
          <c:xMode val="edge"/>
          <c:yMode val="edge"/>
          <c:x val="5.5876867936542056E-2"/>
          <c:y val="0.24610422687784997"/>
          <c:w val="0.93459845280825082"/>
          <c:h val="0.62720805261438572"/>
        </c:manualLayout>
      </c:layout>
      <c:barChart>
        <c:barDir val="col"/>
        <c:grouping val="clustered"/>
        <c:varyColors val="0"/>
        <c:ser>
          <c:idx val="0"/>
          <c:order val="0"/>
          <c:tx>
            <c:strRef>
              <c:f>'Water Balance'!$D$138</c:f>
              <c:strCache>
                <c:ptCount val="1"/>
                <c:pt idx="0">
                  <c:v>System Input</c:v>
                </c:pt>
              </c:strCache>
            </c:strRef>
          </c:tx>
          <c:invertIfNegative val="0"/>
          <c:dLbls>
            <c:spPr>
              <a:noFill/>
              <a:ln>
                <a:noFill/>
              </a:ln>
              <a:effectLst/>
            </c:spPr>
            <c:txPr>
              <a:bodyPr wrap="square" lIns="38100" tIns="19050" rIns="38100" bIns="19050" anchor="ctr">
                <a:spAutoFit/>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extLst>
                <c:ext xmlns:c15="http://schemas.microsoft.com/office/drawing/2012/chart" uri="{02D57815-91ED-43cb-92C2-25804820EDAC}">
                  <c15:fullRef>
                    <c15:sqref>'Water Balance'!$G$1:$S$1</c15:sqref>
                  </c15:fullRef>
                </c:ext>
              </c:extLst>
              <c:f>('Water Balance'!$G$1:$K$1,'Water Balance'!$N$1:$S$1)</c:f>
              <c:strCache>
                <c:ptCount val="11"/>
                <c:pt idx="0">
                  <c:v>Arrowtown (Excl. Millbrook)</c:v>
                </c:pt>
                <c:pt idx="1">
                  <c:v>Arthurs Point</c:v>
                </c:pt>
                <c:pt idx="2">
                  <c:v>Glenorchy</c:v>
                </c:pt>
                <c:pt idx="3">
                  <c:v>Hawea</c:v>
                </c:pt>
                <c:pt idx="4">
                  <c:v>Lake Hayes &amp; Shotover Country</c:v>
                </c:pt>
                <c:pt idx="5">
                  <c:v>Luggate</c:v>
                </c:pt>
                <c:pt idx="6">
                  <c:v>Queenstown</c:v>
                </c:pt>
                <c:pt idx="7">
                  <c:v>Wanaka</c:v>
                </c:pt>
                <c:pt idx="8">
                  <c:v>Wanaka Airport</c:v>
                </c:pt>
                <c:pt idx="9">
                  <c:v>Corbridge</c:v>
                </c:pt>
                <c:pt idx="10">
                  <c:v>QLDC Total</c:v>
                </c:pt>
              </c:strCache>
            </c:strRef>
          </c:cat>
          <c:val>
            <c:numRef>
              <c:extLst>
                <c:ext xmlns:c15="http://schemas.microsoft.com/office/drawing/2012/chart" uri="{02D57815-91ED-43cb-92C2-25804820EDAC}">
                  <c15:fullRef>
                    <c15:sqref>'Water Balance'!$G$138:$S$138</c15:sqref>
                  </c15:fullRef>
                </c:ext>
              </c:extLst>
              <c:f>('Water Balance'!$G$138:$K$138,'Water Balance'!$N$138:$S$138)</c:f>
              <c:numCache>
                <c:formatCode>#,##0</c:formatCode>
                <c:ptCount val="11"/>
                <c:pt idx="0">
                  <c:v>1526.9547365632034</c:v>
                </c:pt>
                <c:pt idx="1">
                  <c:v>1717.2831057330388</c:v>
                </c:pt>
                <c:pt idx="2">
                  <c:v>1439.5164308705741</c:v>
                </c:pt>
                <c:pt idx="3">
                  <c:v>1728.0293830840278</c:v>
                </c:pt>
                <c:pt idx="4">
                  <c:v>1276.5595033063298</c:v>
                </c:pt>
                <c:pt idx="5">
                  <c:v>1346.6042154566744</c:v>
                </c:pt>
                <c:pt idx="6">
                  <c:v>1167.2710746958749</c:v>
                </c:pt>
                <c:pt idx="7">
                  <c:v>1366.6559644891558</c:v>
                </c:pt>
                <c:pt idx="8">
                  <c:v>2369.1256830601092</c:v>
                </c:pt>
                <c:pt idx="9">
                  <c:v>3871.9750195160027</c:v>
                </c:pt>
                <c:pt idx="10">
                  <c:v>1196.6099604181504</c:v>
                </c:pt>
              </c:numCache>
            </c:numRef>
          </c:val>
          <c:extLst>
            <c:ext xmlns:c16="http://schemas.microsoft.com/office/drawing/2014/chart" uri="{C3380CC4-5D6E-409C-BE32-E72D297353CC}">
              <c16:uniqueId val="{00000001-F9AA-4474-8AEF-9BEC688A1BF0}"/>
            </c:ext>
          </c:extLst>
        </c:ser>
        <c:dLbls>
          <c:showLegendKey val="0"/>
          <c:showVal val="0"/>
          <c:showCatName val="0"/>
          <c:showSerName val="0"/>
          <c:showPercent val="0"/>
          <c:showBubbleSize val="0"/>
        </c:dLbls>
        <c:gapWidth val="150"/>
        <c:axId val="558197400"/>
        <c:axId val="558197792"/>
      </c:barChart>
      <c:catAx>
        <c:axId val="558197400"/>
        <c:scaling>
          <c:orientation val="minMax"/>
        </c:scaling>
        <c:delete val="0"/>
        <c:axPos val="b"/>
        <c:numFmt formatCode="General" sourceLinked="0"/>
        <c:majorTickMark val="out"/>
        <c:minorTickMark val="none"/>
        <c:tickLblPos val="nextTo"/>
        <c:crossAx val="558197792"/>
        <c:crosses val="autoZero"/>
        <c:auto val="1"/>
        <c:lblAlgn val="ctr"/>
        <c:lblOffset val="100"/>
        <c:noMultiLvlLbl val="0"/>
      </c:catAx>
      <c:valAx>
        <c:axId val="558197792"/>
        <c:scaling>
          <c:orientation val="minMax"/>
        </c:scaling>
        <c:delete val="0"/>
        <c:axPos val="l"/>
        <c:majorGridlines/>
        <c:title>
          <c:tx>
            <c:rich>
              <a:bodyPr/>
              <a:lstStyle/>
              <a:p>
                <a:pPr>
                  <a:defRPr/>
                </a:pPr>
                <a:r>
                  <a:rPr lang="en-NZ"/>
                  <a:t>Litres / Connection / Day</a:t>
                </a:r>
              </a:p>
            </c:rich>
          </c:tx>
          <c:overlay val="0"/>
        </c:title>
        <c:numFmt formatCode="#,##0" sourceLinked="1"/>
        <c:majorTickMark val="out"/>
        <c:minorTickMark val="none"/>
        <c:tickLblPos val="nextTo"/>
        <c:crossAx val="558197400"/>
        <c:crosses val="autoZero"/>
        <c:crossBetween val="between"/>
      </c:valAx>
    </c:plotArea>
    <c:plotVisOnly val="1"/>
    <c:dispBlanksAs val="gap"/>
    <c:showDLblsOverMax val="0"/>
  </c:chart>
  <c:txPr>
    <a:bodyPr/>
    <a:lstStyle/>
    <a:p>
      <a:pPr>
        <a:defRPr sz="1050"/>
      </a:pPr>
      <a:endParaRPr lang="en-US"/>
    </a:p>
  </c:txPr>
  <c:printSettings>
    <c:headerFooter/>
    <c:pageMargins b="0.75000000000000122" l="0.70000000000000062" r="0.70000000000000062" t="0.75000000000000122"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NZ" sz="1600"/>
              <a:t>Authorised Consumption</a:t>
            </a:r>
            <a:r>
              <a:rPr lang="en-NZ" sz="1600" baseline="0"/>
              <a:t> </a:t>
            </a:r>
            <a:r>
              <a:rPr lang="en-NZ" sz="1600"/>
              <a:t>(litres/conn/day)</a:t>
            </a:r>
          </a:p>
        </c:rich>
      </c:tx>
      <c:overlay val="0"/>
    </c:title>
    <c:autoTitleDeleted val="0"/>
    <c:plotArea>
      <c:layout>
        <c:manualLayout>
          <c:layoutTarget val="inner"/>
          <c:xMode val="edge"/>
          <c:yMode val="edge"/>
          <c:x val="3.2490595681601897E-2"/>
          <c:y val="0.24610422687784997"/>
          <c:w val="0.95798474937067057"/>
          <c:h val="0.62720805261438572"/>
        </c:manualLayout>
      </c:layout>
      <c:barChart>
        <c:barDir val="col"/>
        <c:grouping val="percentStacked"/>
        <c:varyColors val="0"/>
        <c:ser>
          <c:idx val="0"/>
          <c:order val="0"/>
          <c:tx>
            <c:strRef>
              <c:f>'Water Balance'!$D$93</c:f>
              <c:strCache>
                <c:ptCount val="1"/>
                <c:pt idx="0">
                  <c:v>Residential Billed Consumption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'Water Balance'!$G$1:$S$1</c:f>
              <c:strCache>
                <c:ptCount val="13"/>
                <c:pt idx="0">
                  <c:v>Arrowtown (Excl. Millbrook)</c:v>
                </c:pt>
                <c:pt idx="1">
                  <c:v>Arthurs Point</c:v>
                </c:pt>
                <c:pt idx="2">
                  <c:v>Glenorchy</c:v>
                </c:pt>
                <c:pt idx="3">
                  <c:v>Hawea</c:v>
                </c:pt>
                <c:pt idx="4">
                  <c:v>Lake Hayes &amp; Shotover Country</c:v>
                </c:pt>
                <c:pt idx="5">
                  <c:v>Lake Hayes</c:v>
                </c:pt>
                <c:pt idx="6">
                  <c:v>Shotover Country</c:v>
                </c:pt>
                <c:pt idx="7">
                  <c:v>Luggate</c:v>
                </c:pt>
                <c:pt idx="8">
                  <c:v>Queenstown</c:v>
                </c:pt>
                <c:pt idx="9">
                  <c:v>Wanaka</c:v>
                </c:pt>
                <c:pt idx="10">
                  <c:v>Wanaka Airport</c:v>
                </c:pt>
                <c:pt idx="11">
                  <c:v>Corbridge</c:v>
                </c:pt>
                <c:pt idx="12">
                  <c:v>QLDC Total</c:v>
                </c:pt>
              </c:strCache>
            </c:strRef>
          </c:cat>
          <c:val>
            <c:numRef>
              <c:f>'Water Balance'!$G$93:$Q$93</c:f>
            </c:numRef>
          </c:val>
          <c:extLst>
            <c:ext xmlns:c16="http://schemas.microsoft.com/office/drawing/2014/chart" uri="{C3380CC4-5D6E-409C-BE32-E72D297353CC}">
              <c16:uniqueId val="{00000001-9C46-4FB8-8488-952D10DA502A}"/>
            </c:ext>
          </c:extLst>
        </c:ser>
        <c:ser>
          <c:idx val="1"/>
          <c:order val="1"/>
          <c:tx>
            <c:strRef>
              <c:f>'Water Balance'!$D$94</c:f>
              <c:strCache>
                <c:ptCount val="1"/>
                <c:pt idx="0">
                  <c:v>Non-Residential Billed Consumption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'Water Balance'!$G$1:$S$1</c:f>
              <c:strCache>
                <c:ptCount val="13"/>
                <c:pt idx="0">
                  <c:v>Arrowtown (Excl. Millbrook)</c:v>
                </c:pt>
                <c:pt idx="1">
                  <c:v>Arthurs Point</c:v>
                </c:pt>
                <c:pt idx="2">
                  <c:v>Glenorchy</c:v>
                </c:pt>
                <c:pt idx="3">
                  <c:v>Hawea</c:v>
                </c:pt>
                <c:pt idx="4">
                  <c:v>Lake Hayes &amp; Shotover Country</c:v>
                </c:pt>
                <c:pt idx="5">
                  <c:v>Lake Hayes</c:v>
                </c:pt>
                <c:pt idx="6">
                  <c:v>Shotover Country</c:v>
                </c:pt>
                <c:pt idx="7">
                  <c:v>Luggate</c:v>
                </c:pt>
                <c:pt idx="8">
                  <c:v>Queenstown</c:v>
                </c:pt>
                <c:pt idx="9">
                  <c:v>Wanaka</c:v>
                </c:pt>
                <c:pt idx="10">
                  <c:v>Wanaka Airport</c:v>
                </c:pt>
                <c:pt idx="11">
                  <c:v>Corbridge</c:v>
                </c:pt>
                <c:pt idx="12">
                  <c:v>QLDC Total</c:v>
                </c:pt>
              </c:strCache>
            </c:strRef>
          </c:cat>
          <c:val>
            <c:numRef>
              <c:f>'Water Balance'!$G$94:$Q$94</c:f>
            </c:numRef>
          </c:val>
          <c:extLst>
            <c:ext xmlns:c16="http://schemas.microsoft.com/office/drawing/2014/chart" uri="{C3380CC4-5D6E-409C-BE32-E72D297353CC}">
              <c16:uniqueId val="{00000002-9C46-4FB8-8488-952D10DA502A}"/>
            </c:ext>
          </c:extLst>
        </c:ser>
        <c:ser>
          <c:idx val="2"/>
          <c:order val="2"/>
          <c:tx>
            <c:strRef>
              <c:f>'Water Balance'!$D$100</c:f>
              <c:strCache>
                <c:ptCount val="1"/>
                <c:pt idx="0">
                  <c:v>Unbilled Authorised Consumption (Council Reserves and Toilets etc)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'Water Balance'!$G$1:$S$1</c:f>
              <c:strCache>
                <c:ptCount val="13"/>
                <c:pt idx="0">
                  <c:v>Arrowtown (Excl. Millbrook)</c:v>
                </c:pt>
                <c:pt idx="1">
                  <c:v>Arthurs Point</c:v>
                </c:pt>
                <c:pt idx="2">
                  <c:v>Glenorchy</c:v>
                </c:pt>
                <c:pt idx="3">
                  <c:v>Hawea</c:v>
                </c:pt>
                <c:pt idx="4">
                  <c:v>Lake Hayes &amp; Shotover Country</c:v>
                </c:pt>
                <c:pt idx="5">
                  <c:v>Lake Hayes</c:v>
                </c:pt>
                <c:pt idx="6">
                  <c:v>Shotover Country</c:v>
                </c:pt>
                <c:pt idx="7">
                  <c:v>Luggate</c:v>
                </c:pt>
                <c:pt idx="8">
                  <c:v>Queenstown</c:v>
                </c:pt>
                <c:pt idx="9">
                  <c:v>Wanaka</c:v>
                </c:pt>
                <c:pt idx="10">
                  <c:v>Wanaka Airport</c:v>
                </c:pt>
                <c:pt idx="11">
                  <c:v>Corbridge</c:v>
                </c:pt>
                <c:pt idx="12">
                  <c:v>QLDC Total</c:v>
                </c:pt>
              </c:strCache>
            </c:strRef>
          </c:cat>
          <c:val>
            <c:numRef>
              <c:f>'Water Balance'!$G$100:$S$100</c:f>
              <c:numCache>
                <c:formatCode>#,##0</c:formatCode>
                <c:ptCount val="13"/>
                <c:pt idx="0">
                  <c:v>25.286959318410695</c:v>
                </c:pt>
                <c:pt idx="1">
                  <c:v>11.945982517808815</c:v>
                </c:pt>
                <c:pt idx="2">
                  <c:v>45.322628939291867</c:v>
                </c:pt>
                <c:pt idx="3">
                  <c:v>20.28896662434914</c:v>
                </c:pt>
                <c:pt idx="4">
                  <c:v>10.603417958367885</c:v>
                </c:pt>
                <c:pt idx="5">
                  <c:v>1.6154238693627607</c:v>
                </c:pt>
                <c:pt idx="6">
                  <c:v>0</c:v>
                </c:pt>
                <c:pt idx="7">
                  <c:v>12.076186256514125</c:v>
                </c:pt>
                <c:pt idx="8">
                  <c:v>12.926678478200254</c:v>
                </c:pt>
                <c:pt idx="9">
                  <c:v>14.209182340897481</c:v>
                </c:pt>
                <c:pt idx="10">
                  <c:v>11.845628415300547</c:v>
                </c:pt>
                <c:pt idx="11">
                  <c:v>19.359875097580016</c:v>
                </c:pt>
                <c:pt idx="12">
                  <c:v>13.653649132367676</c:v>
                </c:pt>
              </c:numCache>
            </c:numRef>
          </c:val>
          <c:extLst>
            <c:ext xmlns:c16="http://schemas.microsoft.com/office/drawing/2014/chart" uri="{C3380CC4-5D6E-409C-BE32-E72D297353CC}">
              <c16:uniqueId val="{00000003-9C46-4FB8-8488-952D10DA502A}"/>
            </c:ext>
          </c:extLst>
        </c:ser>
        <c:dLbls>
          <c:showLegendKey val="0"/>
          <c:showVal val="0"/>
          <c:showCatName val="0"/>
          <c:showSerName val="0"/>
          <c:showPercent val="0"/>
          <c:showBubbleSize val="0"/>
        </c:dLbls>
        <c:gapWidth val="150"/>
        <c:overlap val="100"/>
        <c:axId val="558197400"/>
        <c:axId val="558197792"/>
      </c:barChart>
      <c:catAx>
        <c:axId val="558197400"/>
        <c:scaling>
          <c:orientation val="minMax"/>
        </c:scaling>
        <c:delete val="0"/>
        <c:axPos val="b"/>
        <c:numFmt formatCode="General" sourceLinked="0"/>
        <c:majorTickMark val="out"/>
        <c:minorTickMark val="none"/>
        <c:tickLblPos val="nextTo"/>
        <c:crossAx val="558197792"/>
        <c:crosses val="autoZero"/>
        <c:auto val="1"/>
        <c:lblAlgn val="ctr"/>
        <c:lblOffset val="100"/>
        <c:noMultiLvlLbl val="0"/>
      </c:catAx>
      <c:valAx>
        <c:axId val="558197792"/>
        <c:scaling>
          <c:orientation val="minMax"/>
        </c:scaling>
        <c:delete val="0"/>
        <c:axPos val="l"/>
        <c:majorGridlines/>
        <c:numFmt formatCode="0%" sourceLinked="1"/>
        <c:majorTickMark val="out"/>
        <c:minorTickMark val="none"/>
        <c:tickLblPos val="nextTo"/>
        <c:crossAx val="558197400"/>
        <c:crosses val="autoZero"/>
        <c:crossBetween val="between"/>
      </c:valAx>
    </c:plotArea>
    <c:legend>
      <c:legendPos val="t"/>
      <c:overlay val="0"/>
      <c:txPr>
        <a:bodyPr/>
        <a:lstStyle/>
        <a:p>
          <a:pPr>
            <a:defRPr sz="1100"/>
          </a:pPr>
          <a:endParaRPr lang="en-US"/>
        </a:p>
      </c:txPr>
    </c:legend>
    <c:plotVisOnly val="1"/>
    <c:dispBlanksAs val="gap"/>
    <c:showDLblsOverMax val="0"/>
  </c:chart>
  <c:txPr>
    <a:bodyPr/>
    <a:lstStyle/>
    <a:p>
      <a:pPr>
        <a:defRPr sz="1050"/>
      </a:pPr>
      <a:endParaRPr lang="en-US"/>
    </a:p>
  </c:txPr>
  <c:printSettings>
    <c:headerFooter/>
    <c:pageMargins b="0.75000000000000122" l="0.70000000000000062" r="0.70000000000000062" t="0.75000000000000122"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Balance'!$P$91,'Water Balance'!$P$99,'Water Balance'!$P$108,'Water Balance'!$P$111)</c:f>
              <c:numCache>
                <c:formatCode>#,##0</c:formatCode>
                <c:ptCount val="4"/>
                <c:pt idx="0">
                  <c:v>3319529</c:v>
                </c:pt>
                <c:pt idx="1">
                  <c:v>44610.41</c:v>
                </c:pt>
                <c:pt idx="2">
                  <c:v>70681.262000000002</c:v>
                </c:pt>
                <c:pt idx="3">
                  <c:v>855861.32799999998</c:v>
                </c:pt>
              </c:numCache>
            </c:numRef>
          </c:val>
          <c:extLst>
            <c:ext xmlns:c16="http://schemas.microsoft.com/office/drawing/2014/chart" uri="{C3380CC4-5D6E-409C-BE32-E72D297353CC}">
              <c16:uniqueId val="{00000000-B650-4DC6-895E-0573CC61E916}"/>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Balance'!$P$91,'Water Balance'!$P$99,'Water Balance'!$P$108,'Water Balance'!$P$111)</c:f>
              <c:numCache>
                <c:formatCode>#,##0</c:formatCode>
                <c:ptCount val="4"/>
                <c:pt idx="0">
                  <c:v>3319529</c:v>
                </c:pt>
                <c:pt idx="1">
                  <c:v>44610.41</c:v>
                </c:pt>
                <c:pt idx="2">
                  <c:v>70681.262000000002</c:v>
                </c:pt>
                <c:pt idx="3">
                  <c:v>855861.32799999998</c:v>
                </c:pt>
              </c:numCache>
            </c:numRef>
          </c:val>
          <c:extLst>
            <c:ext xmlns:c16="http://schemas.microsoft.com/office/drawing/2014/chart" uri="{C3380CC4-5D6E-409C-BE32-E72D297353CC}">
              <c16:uniqueId val="{00000000-4419-4AC9-A632-ADED28F81A35}"/>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25"/>
          <c:cat>
            <c:strRef>
              <c:f>('Water Balance'!$D$91,'Water Balance'!$D$99,'Water Balance'!$D$108,'Water Balance'!$D$111)</c:f>
              <c:strCache>
                <c:ptCount val="4"/>
                <c:pt idx="0">
                  <c:v>Billed Consumption</c:v>
                </c:pt>
                <c:pt idx="1">
                  <c:v>Unbilled  Consumption</c:v>
                </c:pt>
                <c:pt idx="2">
                  <c:v>Apparent Losses</c:v>
                </c:pt>
                <c:pt idx="3">
                  <c:v>Current Annual Real Losses (CARL)</c:v>
                </c:pt>
              </c:strCache>
            </c:strRef>
          </c:cat>
          <c:val>
            <c:numRef>
              <c:f>('Water Balance'!$P$91,'Water Balance'!$P$99,'Water Balance'!$P$108,'Water Balance'!$P$111)</c:f>
              <c:numCache>
                <c:formatCode>#,##0</c:formatCode>
                <c:ptCount val="4"/>
                <c:pt idx="0">
                  <c:v>3319529</c:v>
                </c:pt>
                <c:pt idx="1">
                  <c:v>44610.41</c:v>
                </c:pt>
                <c:pt idx="2">
                  <c:v>70681.262000000002</c:v>
                </c:pt>
                <c:pt idx="3">
                  <c:v>855861.32799999998</c:v>
                </c:pt>
              </c:numCache>
            </c:numRef>
          </c:val>
          <c:extLst>
            <c:ext xmlns:c16="http://schemas.microsoft.com/office/drawing/2014/chart" uri="{C3380CC4-5D6E-409C-BE32-E72D297353CC}">
              <c16:uniqueId val="{00000000-E6D2-4ADB-B276-648DCAF0E775}"/>
            </c:ext>
          </c:extLst>
        </c:ser>
        <c:dLbls>
          <c:showLegendKey val="0"/>
          <c:showVal val="0"/>
          <c:showCatName val="0"/>
          <c:showSerName val="0"/>
          <c:showPercent val="0"/>
          <c:showBubbleSize val="0"/>
          <c:showLeaderLines val="0"/>
        </c:dLbls>
        <c:firstSliceAng val="0"/>
      </c:pieChart>
    </c:plotArea>
    <c:plotVisOnly val="1"/>
    <c:dispBlanksAs val="zero"/>
    <c:showDLblsOverMax val="0"/>
  </c:chart>
  <c:printSettings>
    <c:headerFooter/>
    <c:pageMargins b="0.75000000000000122" l="0.70000000000000062" r="0.70000000000000062" t="0.75000000000000122"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NZ"/>
              <a:t>% Losses</a:t>
            </a:r>
            <a:r>
              <a:rPr lang="en-NZ" baseline="0"/>
              <a:t> </a:t>
            </a:r>
            <a:r>
              <a:rPr lang="en-NZ"/>
              <a:t>2023/24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'Leakage Estimate'!$S$7</c:f>
              <c:strCache>
                <c:ptCount val="1"/>
                <c:pt idx="0">
                  <c:v>% Losses (Night Flow)</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7-682E-44F1-9783-161529223BAC}"/>
              </c:ext>
            </c:extLst>
          </c:dPt>
          <c:cat>
            <c:strRef>
              <c:f>('Leakage Estimate'!$R$14,'Leakage Estimate'!$R$17,'Leakage Estimate'!$R$19,'Leakage Estimate'!$R$45,'Leakage Estimate'!$R$48,'Leakage Estimate'!$R$49,'Leakage Estimate'!$R$58)</c:f>
              <c:strCache>
                <c:ptCount val="7"/>
                <c:pt idx="0">
                  <c:v>Arrowtown</c:v>
                </c:pt>
                <c:pt idx="1">
                  <c:v>Arthurs Point</c:v>
                </c:pt>
                <c:pt idx="2">
                  <c:v>Glenorchy</c:v>
                </c:pt>
                <c:pt idx="3">
                  <c:v>Queenstown</c:v>
                </c:pt>
                <c:pt idx="4">
                  <c:v>Hawea</c:v>
                </c:pt>
                <c:pt idx="5">
                  <c:v>Luggate</c:v>
                </c:pt>
                <c:pt idx="6">
                  <c:v>Wanaka</c:v>
                </c:pt>
              </c:strCache>
            </c:strRef>
          </c:cat>
          <c:val>
            <c:numRef>
              <c:f>('Leakage Estimate'!$S$14,'Leakage Estimate'!$S$17,'Leakage Estimate'!$S$19,'Leakage Estimate'!$S$45,'Leakage Estimate'!$S$48,'Leakage Estimate'!$S$49,'Leakage Estimate'!$S$58)</c:f>
              <c:numCache>
                <c:formatCode>0%</c:formatCode>
                <c:ptCount val="7"/>
                <c:pt idx="0">
                  <c:v>0.51446759039453049</c:v>
                </c:pt>
                <c:pt idx="1">
                  <c:v>0.48460823649817497</c:v>
                </c:pt>
                <c:pt idx="2">
                  <c:v>0.3689763656691194</c:v>
                </c:pt>
                <c:pt idx="3">
                  <c:v>0.60239531986349593</c:v>
                </c:pt>
                <c:pt idx="4">
                  <c:v>0.37774651598898534</c:v>
                </c:pt>
                <c:pt idx="5">
                  <c:v>0.29646063454759097</c:v>
                </c:pt>
                <c:pt idx="6">
                  <c:v>0.26533068635708729</c:v>
                </c:pt>
              </c:numCache>
            </c:numRef>
          </c:val>
          <c:extLst>
            <c:ext xmlns:c16="http://schemas.microsoft.com/office/drawing/2014/chart" uri="{C3380CC4-5D6E-409C-BE32-E72D297353CC}">
              <c16:uniqueId val="{00000000-682E-44F1-9783-161529223BAC}"/>
            </c:ext>
          </c:extLst>
        </c:ser>
        <c:ser>
          <c:idx val="1"/>
          <c:order val="1"/>
          <c:tx>
            <c:strRef>
              <c:f>'Leakage Estimate'!$T$7</c:f>
              <c:strCache>
                <c:ptCount val="1"/>
                <c:pt idx="0">
                  <c:v>% Losses (Water Balance)</c:v>
                </c:pt>
              </c:strCache>
            </c:strRef>
          </c:tx>
          <c:spPr>
            <a:solidFill>
              <a:schemeClr val="accent2"/>
            </a:solidFill>
            <a:ln>
              <a:noFill/>
            </a:ln>
            <a:effectLst/>
          </c:spPr>
          <c:invertIfNegative val="0"/>
          <c:val>
            <c:numRef>
              <c:f>('Leakage Estimate'!$T$14,'Leakage Estimate'!$T$17,'Leakage Estimate'!$T$19,'Leakage Estimate'!$T$45,'Leakage Estimate'!$T$48,'Leakage Estimate'!$T$49,'Leakage Estimate'!$T$58)</c:f>
              <c:numCache>
                <c:formatCode>0%</c:formatCode>
                <c:ptCount val="7"/>
                <c:pt idx="0">
                  <c:v>0.26378327894202719</c:v>
                </c:pt>
                <c:pt idx="1">
                  <c:v>0.54466292609733935</c:v>
                </c:pt>
                <c:pt idx="2">
                  <c:v>0.5795385585398195</c:v>
                </c:pt>
                <c:pt idx="3">
                  <c:v>0.22676533187079065</c:v>
                </c:pt>
                <c:pt idx="4">
                  <c:v>0.48889607658635464</c:v>
                </c:pt>
                <c:pt idx="5">
                  <c:v>7.3456717587152373E-2</c:v>
                </c:pt>
                <c:pt idx="6">
                  <c:v>0.21594296431196719</c:v>
                </c:pt>
              </c:numCache>
            </c:numRef>
          </c:val>
          <c:extLst>
            <c:ext xmlns:c16="http://schemas.microsoft.com/office/drawing/2014/chart" uri="{C3380CC4-5D6E-409C-BE32-E72D297353CC}">
              <c16:uniqueId val="{00000003-1D04-423C-B1B3-762A8F4A1898}"/>
            </c:ext>
          </c:extLst>
        </c:ser>
        <c:dLbls>
          <c:showLegendKey val="0"/>
          <c:showVal val="0"/>
          <c:showCatName val="0"/>
          <c:showSerName val="0"/>
          <c:showPercent val="0"/>
          <c:showBubbleSize val="0"/>
        </c:dLbls>
        <c:gapWidth val="219"/>
        <c:overlap val="-27"/>
        <c:axId val="514870432"/>
        <c:axId val="514870912"/>
      </c:barChart>
      <c:catAx>
        <c:axId val="5148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14870912"/>
        <c:crosses val="autoZero"/>
        <c:auto val="1"/>
        <c:lblAlgn val="ctr"/>
        <c:lblOffset val="100"/>
        <c:noMultiLvlLbl val="0"/>
      </c:catAx>
      <c:valAx>
        <c:axId val="51487091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148704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NZ"/>
              <a:t>Arthurs Point Night Flow (litres / sec) </a:t>
            </a:r>
          </a:p>
          <a:p>
            <a:pPr>
              <a:defRPr/>
            </a:pPr>
            <a:r>
              <a:rPr lang="en-NZ"/>
              <a:t>Winter 2024</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'Leakage Estimate'!$D$15</c:f>
              <c:strCache>
                <c:ptCount val="1"/>
                <c:pt idx="0">
                  <c:v>Arthurs Point East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'Leakage Estimate'!$E$7:$M$7</c:f>
              <c:numCache>
                <c:formatCode>General</c:formatCode>
                <c:ptCount val="9"/>
                <c:pt idx="0">
                  <c:v>2024</c:v>
                </c:pt>
                <c:pt idx="1">
                  <c:v>2023</c:v>
                </c:pt>
                <c:pt idx="2">
                  <c:v>2022</c:v>
                </c:pt>
                <c:pt idx="3">
                  <c:v>2021</c:v>
                </c:pt>
                <c:pt idx="4">
                  <c:v>2020</c:v>
                </c:pt>
                <c:pt idx="5">
                  <c:v>2019</c:v>
                </c:pt>
                <c:pt idx="6">
                  <c:v>2018</c:v>
                </c:pt>
                <c:pt idx="7">
                  <c:v>2017</c:v>
                </c:pt>
                <c:pt idx="8">
                  <c:v>2016</c:v>
                </c:pt>
              </c:numCache>
            </c:numRef>
          </c:cat>
          <c:val>
            <c:numRef>
              <c:f>'Leakage Estimate'!$E$15:$M$15</c:f>
              <c:numCache>
                <c:formatCode>General</c:formatCode>
                <c:ptCount val="9"/>
                <c:pt idx="0">
                  <c:v>3.1</c:v>
                </c:pt>
                <c:pt idx="1">
                  <c:v>3.1</c:v>
                </c:pt>
                <c:pt idx="2">
                  <c:v>3.2</c:v>
                </c:pt>
                <c:pt idx="3">
                  <c:v>0.9</c:v>
                </c:pt>
                <c:pt idx="4">
                  <c:v>0.7</c:v>
                </c:pt>
                <c:pt idx="5">
                  <c:v>3</c:v>
                </c:pt>
                <c:pt idx="6">
                  <c:v>1.5</c:v>
                </c:pt>
                <c:pt idx="7">
                  <c:v>0.8</c:v>
                </c:pt>
                <c:pt idx="8">
                  <c:v>0.3</c:v>
                </c:pt>
              </c:numCache>
            </c:numRef>
          </c:val>
          <c:extLst>
            <c:ext xmlns:c16="http://schemas.microsoft.com/office/drawing/2014/chart" uri="{C3380CC4-5D6E-409C-BE32-E72D297353CC}">
              <c16:uniqueId val="{00000000-1804-416E-BEB1-D363EADACEB2}"/>
            </c:ext>
          </c:extLst>
        </c:ser>
        <c:ser>
          <c:idx val="1"/>
          <c:order val="1"/>
          <c:tx>
            <c:strRef>
              <c:f>'Leakage Estimate'!$D$16</c:f>
              <c:strCache>
                <c:ptCount val="1"/>
                <c:pt idx="0">
                  <c:v>Arthurs Point West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'Leakage Estimate'!$E$7:$M$7</c:f>
              <c:numCache>
                <c:formatCode>General</c:formatCode>
                <c:ptCount val="9"/>
                <c:pt idx="0">
                  <c:v>2024</c:v>
                </c:pt>
                <c:pt idx="1">
                  <c:v>2023</c:v>
                </c:pt>
                <c:pt idx="2">
                  <c:v>2022</c:v>
                </c:pt>
                <c:pt idx="3">
                  <c:v>2021</c:v>
                </c:pt>
                <c:pt idx="4">
                  <c:v>2020</c:v>
                </c:pt>
                <c:pt idx="5">
                  <c:v>2019</c:v>
                </c:pt>
                <c:pt idx="6">
                  <c:v>2018</c:v>
                </c:pt>
                <c:pt idx="7">
                  <c:v>2017</c:v>
                </c:pt>
                <c:pt idx="8">
                  <c:v>2016</c:v>
                </c:pt>
              </c:numCache>
            </c:numRef>
          </c:cat>
          <c:val>
            <c:numRef>
              <c:f>'Leakage Estimate'!$E$16:$M$16</c:f>
              <c:numCache>
                <c:formatCode>General</c:formatCode>
                <c:ptCount val="9"/>
                <c:pt idx="0">
                  <c:v>1.99</c:v>
                </c:pt>
                <c:pt idx="1">
                  <c:v>0.16</c:v>
                </c:pt>
                <c:pt idx="2">
                  <c:v>0.21</c:v>
                </c:pt>
                <c:pt idx="3">
                  <c:v>0.63</c:v>
                </c:pt>
                <c:pt idx="4">
                  <c:v>0.24</c:v>
                </c:pt>
                <c:pt idx="5">
                  <c:v>7.0000000000000007E-2</c:v>
                </c:pt>
                <c:pt idx="6">
                  <c:v>0.2</c:v>
                </c:pt>
                <c:pt idx="7">
                  <c:v>0.1</c:v>
                </c:pt>
                <c:pt idx="8">
                  <c:v>0.2</c:v>
                </c:pt>
              </c:numCache>
            </c:numRef>
          </c:val>
          <c:extLst>
            <c:ext xmlns:c16="http://schemas.microsoft.com/office/drawing/2014/chart" uri="{C3380CC4-5D6E-409C-BE32-E72D297353CC}">
              <c16:uniqueId val="{00000001-1804-416E-BEB1-D363EADACEB2}"/>
            </c:ext>
          </c:extLst>
        </c:ser>
        <c:dLbls>
          <c:showLegendKey val="0"/>
          <c:showVal val="0"/>
          <c:showCatName val="0"/>
          <c:showSerName val="0"/>
          <c:showPercent val="0"/>
          <c:showBubbleSize val="0"/>
        </c:dLbls>
        <c:gapWidth val="150"/>
        <c:overlap val="100"/>
        <c:axId val="178023791"/>
        <c:axId val="116836127"/>
      </c:barChart>
      <c:catAx>
        <c:axId val="178023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836127"/>
        <c:crosses val="autoZero"/>
        <c:auto val="1"/>
        <c:lblAlgn val="ctr"/>
        <c:lblOffset val="100"/>
        <c:noMultiLvlLbl val="0"/>
      </c:catAx>
      <c:valAx>
        <c:axId val="1168361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8023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NZ"/>
              <a:t>Glenorchy Night Flow (litres / sec) </a:t>
            </a:r>
          </a:p>
          <a:p>
            <a:pPr>
              <a:defRPr/>
            </a:pPr>
            <a:r>
              <a:rPr lang="en-NZ"/>
              <a:t>Winter 2024</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'Leakage Estimate'!$D$18</c:f>
              <c:strCache>
                <c:ptCount val="1"/>
                <c:pt idx="0">
                  <c:v>Glenorchy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'Leakage Estimate'!$E$7:$M$7</c:f>
              <c:numCache>
                <c:formatCode>General</c:formatCode>
                <c:ptCount val="9"/>
                <c:pt idx="0">
                  <c:v>2024</c:v>
                </c:pt>
                <c:pt idx="1">
                  <c:v>2023</c:v>
                </c:pt>
                <c:pt idx="2">
                  <c:v>2022</c:v>
                </c:pt>
                <c:pt idx="3">
                  <c:v>2021</c:v>
                </c:pt>
                <c:pt idx="4">
                  <c:v>2020</c:v>
                </c:pt>
                <c:pt idx="5">
                  <c:v>2019</c:v>
                </c:pt>
                <c:pt idx="6">
                  <c:v>2018</c:v>
                </c:pt>
                <c:pt idx="7">
                  <c:v>2017</c:v>
                </c:pt>
                <c:pt idx="8">
                  <c:v>2016</c:v>
                </c:pt>
              </c:numCache>
            </c:numRef>
          </c:cat>
          <c:val>
            <c:numRef>
              <c:f>'Leakage Estimate'!$E$18:$M$18</c:f>
              <c:numCache>
                <c:formatCode>General</c:formatCode>
                <c:ptCount val="9"/>
                <c:pt idx="0">
                  <c:v>1.8</c:v>
                </c:pt>
                <c:pt idx="1">
                  <c:v>1.9</c:v>
                </c:pt>
                <c:pt idx="2">
                  <c:v>0.8</c:v>
                </c:pt>
                <c:pt idx="3">
                  <c:v>5</c:v>
                </c:pt>
                <c:pt idx="4">
                  <c:v>3.1</c:v>
                </c:pt>
                <c:pt idx="5">
                  <c:v>0.8</c:v>
                </c:pt>
                <c:pt idx="6">
                  <c:v>1.1000000000000001</c:v>
                </c:pt>
                <c:pt idx="7">
                  <c:v>2</c:v>
                </c:pt>
              </c:numCache>
            </c:numRef>
          </c:val>
          <c:extLst>
            <c:ext xmlns:c16="http://schemas.microsoft.com/office/drawing/2014/chart" uri="{C3380CC4-5D6E-409C-BE32-E72D297353CC}">
              <c16:uniqueId val="{00000000-8239-40A9-B1D0-75F7AC1036E9}"/>
            </c:ext>
          </c:extLst>
        </c:ser>
        <c:dLbls>
          <c:showLegendKey val="0"/>
          <c:showVal val="0"/>
          <c:showCatName val="0"/>
          <c:showSerName val="0"/>
          <c:showPercent val="0"/>
          <c:showBubbleSize val="0"/>
        </c:dLbls>
        <c:gapWidth val="150"/>
        <c:overlap val="100"/>
        <c:axId val="178023791"/>
        <c:axId val="116836127"/>
      </c:barChart>
      <c:catAx>
        <c:axId val="178023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836127"/>
        <c:crosses val="autoZero"/>
        <c:auto val="1"/>
        <c:lblAlgn val="ctr"/>
        <c:lblOffset val="100"/>
        <c:noMultiLvlLbl val="0"/>
      </c:catAx>
      <c:valAx>
        <c:axId val="1168361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8023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NZ"/>
              <a:t>Luggate Night Flow (litres / sec) </a:t>
            </a:r>
          </a:p>
          <a:p>
            <a:pPr>
              <a:defRPr/>
            </a:pPr>
            <a:r>
              <a:rPr lang="en-NZ"/>
              <a:t>Winter 2024</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tx>
            <c:strRef>
              <c:f>'Leakage Estimate'!$D$49</c:f>
              <c:strCache>
                <c:ptCount val="1"/>
                <c:pt idx="0">
                  <c:v>Luggate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'Leakage Estimate'!$E$7:$M$7</c:f>
              <c:numCache>
                <c:formatCode>General</c:formatCode>
                <c:ptCount val="9"/>
                <c:pt idx="0">
                  <c:v>2024</c:v>
                </c:pt>
                <c:pt idx="1">
                  <c:v>2023</c:v>
                </c:pt>
                <c:pt idx="2">
                  <c:v>2022</c:v>
                </c:pt>
                <c:pt idx="3">
                  <c:v>2021</c:v>
                </c:pt>
                <c:pt idx="4">
                  <c:v>2020</c:v>
                </c:pt>
                <c:pt idx="5">
                  <c:v>2019</c:v>
                </c:pt>
                <c:pt idx="6">
                  <c:v>2018</c:v>
                </c:pt>
                <c:pt idx="7">
                  <c:v>2017</c:v>
                </c:pt>
                <c:pt idx="8">
                  <c:v>2016</c:v>
                </c:pt>
              </c:numCache>
            </c:numRef>
          </c:cat>
          <c:val>
            <c:numRef>
              <c:f>'Leakage Estimate'!$E$49:$M$49</c:f>
              <c:numCache>
                <c:formatCode>General</c:formatCode>
                <c:ptCount val="9"/>
                <c:pt idx="0">
                  <c:v>1.2</c:v>
                </c:pt>
                <c:pt idx="1">
                  <c:v>0.8</c:v>
                </c:pt>
                <c:pt idx="2">
                  <c:v>0.7</c:v>
                </c:pt>
                <c:pt idx="3">
                  <c:v>0.3</c:v>
                </c:pt>
                <c:pt idx="4">
                  <c:v>0.8</c:v>
                </c:pt>
                <c:pt idx="5">
                  <c:v>0.3</c:v>
                </c:pt>
                <c:pt idx="6">
                  <c:v>0.5</c:v>
                </c:pt>
                <c:pt idx="7">
                  <c:v>0.7</c:v>
                </c:pt>
                <c:pt idx="8">
                  <c:v>0.5</c:v>
                </c:pt>
              </c:numCache>
            </c:numRef>
          </c:val>
          <c:extLst>
            <c:ext xmlns:c16="http://schemas.microsoft.com/office/drawing/2014/chart" uri="{C3380CC4-5D6E-409C-BE32-E72D297353CC}">
              <c16:uniqueId val="{00000000-F39F-4C85-9B98-60F1F60F8956}"/>
            </c:ext>
          </c:extLst>
        </c:ser>
        <c:dLbls>
          <c:showLegendKey val="0"/>
          <c:showVal val="0"/>
          <c:showCatName val="0"/>
          <c:showSerName val="0"/>
          <c:showPercent val="0"/>
          <c:showBubbleSize val="0"/>
        </c:dLbls>
        <c:gapWidth val="150"/>
        <c:overlap val="100"/>
        <c:axId val="178023791"/>
        <c:axId val="116836127"/>
      </c:barChart>
      <c:catAx>
        <c:axId val="178023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836127"/>
        <c:crosses val="autoZero"/>
        <c:auto val="1"/>
        <c:lblAlgn val="ctr"/>
        <c:lblOffset val="100"/>
        <c:noMultiLvlLbl val="0"/>
      </c:catAx>
      <c:valAx>
        <c:axId val="1168361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8023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300" b="1" i="0" u="none" strike="noStrike" baseline="0">
                <a:solidFill>
                  <a:srgbClr val="000000"/>
                </a:solidFill>
                <a:latin typeface="Arial"/>
                <a:ea typeface="Arial"/>
                <a:cs typeface="Arial"/>
              </a:defRPr>
            </a:pPr>
            <a:r>
              <a:rPr lang="en-NZ"/>
              <a:t>Comparison of System ILI with WBTI Bands </a:t>
            </a:r>
          </a:p>
        </c:rich>
      </c:tx>
      <c:overlay val="0"/>
      <c:spPr>
        <a:noFill/>
        <a:ln w="25400">
          <a:noFill/>
        </a:ln>
      </c:spPr>
    </c:title>
    <c:autoTitleDeleted val="0"/>
    <c:plotArea>
      <c:layout/>
      <c:scatterChart>
        <c:scatterStyle val="lineMarker"/>
        <c:varyColors val="0"/>
        <c:ser>
          <c:idx val="0"/>
          <c:order val="0"/>
          <c:tx>
            <c:v>System ILI</c:v>
          </c:tx>
          <c:spPr>
            <a:ln w="25400">
              <a:solidFill>
                <a:srgbClr val="00FFFF"/>
              </a:solidFill>
              <a:prstDash val="solid"/>
            </a:ln>
          </c:spPr>
          <c:marker>
            <c:symbol val="diamond"/>
            <c:size val="2"/>
            <c:spPr>
              <a:solidFill>
                <a:srgbClr val="000080"/>
              </a:solidFill>
              <a:ln>
                <a:solidFill>
                  <a:srgbClr val="000080"/>
                </a:solidFill>
                <a:prstDash val="solid"/>
              </a:ln>
            </c:spPr>
          </c:marker>
          <c:xVal>
            <c:strRef>
              <c:f>'[9]WBI Guidelines'!$B$17:$B$42</c:f>
              <c:strCache>
                <c:ptCount val="26"/>
                <c:pt idx="0">
                  <c:v>ILIs</c:v>
                </c:pt>
                <c:pt idx="1">
                  <c:v>0.7</c:v>
                </c:pt>
                <c:pt idx="2">
                  <c:v>1</c:v>
                </c:pt>
                <c:pt idx="3">
                  <c:v>1</c:v>
                </c:pt>
                <c:pt idx="4">
                  <c:v>1</c:v>
                </c:pt>
                <c:pt idx="5">
                  <c:v>1</c:v>
                </c:pt>
                <c:pt idx="6">
                  <c:v>1.1</c:v>
                </c:pt>
                <c:pt idx="7">
                  <c:v>1.2</c:v>
                </c:pt>
                <c:pt idx="8">
                  <c:v>1.2</c:v>
                </c:pt>
                <c:pt idx="9">
                  <c:v>1.2</c:v>
                </c:pt>
                <c:pt idx="10">
                  <c:v>1.35</c:v>
                </c:pt>
                <c:pt idx="11">
                  <c:v>1.4</c:v>
                </c:pt>
                <c:pt idx="12">
                  <c:v>1.5</c:v>
                </c:pt>
                <c:pt idx="13">
                  <c:v>1.5</c:v>
                </c:pt>
                <c:pt idx="14">
                  <c:v>1.6</c:v>
                </c:pt>
                <c:pt idx="15">
                  <c:v>1.6</c:v>
                </c:pt>
                <c:pt idx="16">
                  <c:v>1.6</c:v>
                </c:pt>
                <c:pt idx="17">
                  <c:v>1.7</c:v>
                </c:pt>
                <c:pt idx="18">
                  <c:v>1.8</c:v>
                </c:pt>
                <c:pt idx="19">
                  <c:v>2.5</c:v>
                </c:pt>
                <c:pt idx="20">
                  <c:v>3.6</c:v>
                </c:pt>
                <c:pt idx="21">
                  <c:v>3.6</c:v>
                </c:pt>
                <c:pt idx="22">
                  <c:v>5.8</c:v>
                </c:pt>
              </c:strCache>
            </c:strRef>
          </c:xVal>
          <c:yVal>
            <c:numRef>
              <c:f>'[9]WBI Guidelines'!$C$17:$C$42</c:f>
              <c:numCache>
                <c:formatCode>General</c:formatCode>
                <c:ptCount val="26"/>
                <c:pt idx="0">
                  <c:v>0</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numCache>
            </c:numRef>
          </c:yVal>
          <c:smooth val="0"/>
          <c:extLst>
            <c:ext xmlns:c16="http://schemas.microsoft.com/office/drawing/2014/chart" uri="{C3380CC4-5D6E-409C-BE32-E72D297353CC}">
              <c16:uniqueId val="{00000000-6923-4203-8401-9B21390347D7}"/>
            </c:ext>
          </c:extLst>
        </c:ser>
        <c:ser>
          <c:idx val="1"/>
          <c:order val="1"/>
          <c:tx>
            <c:v>Upper limit BAND A</c:v>
          </c:tx>
          <c:spPr>
            <a:ln w="25400">
              <a:solidFill>
                <a:srgbClr val="00FF00"/>
              </a:solidFill>
              <a:prstDash val="solid"/>
            </a:ln>
          </c:spPr>
          <c:marker>
            <c:symbol val="square"/>
            <c:size val="2"/>
            <c:spPr>
              <a:solidFill>
                <a:srgbClr val="00FF00"/>
              </a:solidFill>
              <a:ln>
                <a:solidFill>
                  <a:srgbClr val="00FF00"/>
                </a:solidFill>
                <a:prstDash val="solid"/>
              </a:ln>
            </c:spPr>
          </c:marker>
          <c:xVal>
            <c:strRef>
              <c:f>'[9]WBI Guidelines'!$D$17:$D$43</c:f>
              <c:strCache>
                <c:ptCount val="27"/>
                <c:pt idx="0">
                  <c:v>Band B/C</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strCache>
            </c:strRef>
          </c:xVal>
          <c:yVal>
            <c:numRef>
              <c:f>'[9]WBI Guidelines'!$C$17:$C$43</c:f>
              <c:numCache>
                <c:formatCode>General</c:formatCode>
                <c:ptCount val="27"/>
                <c:pt idx="0">
                  <c:v>0</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numCache>
            </c:numRef>
          </c:yVal>
          <c:smooth val="0"/>
          <c:extLst>
            <c:ext xmlns:c16="http://schemas.microsoft.com/office/drawing/2014/chart" uri="{C3380CC4-5D6E-409C-BE32-E72D297353CC}">
              <c16:uniqueId val="{00000001-6923-4203-8401-9B21390347D7}"/>
            </c:ext>
          </c:extLst>
        </c:ser>
        <c:ser>
          <c:idx val="2"/>
          <c:order val="2"/>
          <c:tx>
            <c:v>Upper limit BAND B</c:v>
          </c:tx>
          <c:spPr>
            <a:ln w="25400">
              <a:solidFill>
                <a:srgbClr val="3366FF"/>
              </a:solidFill>
              <a:prstDash val="solid"/>
            </a:ln>
          </c:spPr>
          <c:marker>
            <c:symbol val="triangle"/>
            <c:size val="2"/>
            <c:spPr>
              <a:solidFill>
                <a:srgbClr val="3366FF"/>
              </a:solidFill>
              <a:ln>
                <a:solidFill>
                  <a:srgbClr val="3366FF"/>
                </a:solidFill>
                <a:prstDash val="solid"/>
              </a:ln>
            </c:spPr>
          </c:marker>
          <c:xVal>
            <c:strRef>
              <c:f>'[9]WBI Guidelines'!$E$17:$E$43</c:f>
              <c:strCache>
                <c:ptCount val="27"/>
                <c:pt idx="0">
                  <c:v>Band C/D</c:v>
                </c:pt>
                <c:pt idx="1">
                  <c:v>8</c:v>
                </c:pt>
                <c:pt idx="2">
                  <c:v>8</c:v>
                </c:pt>
                <c:pt idx="3">
                  <c:v>8</c:v>
                </c:pt>
                <c:pt idx="4">
                  <c:v>8</c:v>
                </c:pt>
                <c:pt idx="5">
                  <c:v>8</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8</c:v>
                </c:pt>
                <c:pt idx="22">
                  <c:v>8</c:v>
                </c:pt>
              </c:strCache>
            </c:strRef>
          </c:xVal>
          <c:yVal>
            <c:numRef>
              <c:f>'[9]WBI Guidelines'!$C$17:$C$43</c:f>
              <c:numCache>
                <c:formatCode>General</c:formatCode>
                <c:ptCount val="27"/>
                <c:pt idx="0">
                  <c:v>0</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numCache>
            </c:numRef>
          </c:yVal>
          <c:smooth val="0"/>
          <c:extLst>
            <c:ext xmlns:c16="http://schemas.microsoft.com/office/drawing/2014/chart" uri="{C3380CC4-5D6E-409C-BE32-E72D297353CC}">
              <c16:uniqueId val="{00000002-6923-4203-8401-9B21390347D7}"/>
            </c:ext>
          </c:extLst>
        </c:ser>
        <c:ser>
          <c:idx val="3"/>
          <c:order val="3"/>
          <c:tx>
            <c:v>Upper limit BAND C</c:v>
          </c:tx>
          <c:spPr>
            <a:ln w="25400">
              <a:solidFill>
                <a:srgbClr val="FF0000"/>
              </a:solidFill>
              <a:prstDash val="solid"/>
            </a:ln>
          </c:spPr>
          <c:marker>
            <c:symbol val="x"/>
            <c:size val="2"/>
            <c:spPr>
              <a:noFill/>
              <a:ln>
                <a:solidFill>
                  <a:srgbClr val="FF0000"/>
                </a:solidFill>
                <a:prstDash val="solid"/>
              </a:ln>
            </c:spPr>
          </c:marker>
          <c:xVal>
            <c:strRef>
              <c:f>'[9]WBI Guidelines'!$F$17:$F$43</c:f>
              <c:strCache>
                <c:ptCount val="27"/>
                <c:pt idx="0">
                  <c:v>This system</c:v>
                </c:pt>
                <c:pt idx="1">
                  <c:v>2.250137545</c:v>
                </c:pt>
                <c:pt idx="2">
                  <c:v>2.250137545</c:v>
                </c:pt>
                <c:pt idx="3">
                  <c:v>2.250137545</c:v>
                </c:pt>
                <c:pt idx="4">
                  <c:v>2.250137545</c:v>
                </c:pt>
                <c:pt idx="5">
                  <c:v>2.250137545</c:v>
                </c:pt>
                <c:pt idx="6">
                  <c:v>2.250137545</c:v>
                </c:pt>
                <c:pt idx="7">
                  <c:v>2.250137545</c:v>
                </c:pt>
                <c:pt idx="8">
                  <c:v>2.250137545</c:v>
                </c:pt>
                <c:pt idx="9">
                  <c:v>2.250137545</c:v>
                </c:pt>
                <c:pt idx="10">
                  <c:v>2.250137545</c:v>
                </c:pt>
                <c:pt idx="11">
                  <c:v>2.250137545</c:v>
                </c:pt>
                <c:pt idx="12">
                  <c:v>2.250137545</c:v>
                </c:pt>
                <c:pt idx="13">
                  <c:v>2.250137545</c:v>
                </c:pt>
                <c:pt idx="14">
                  <c:v>2.250137545</c:v>
                </c:pt>
                <c:pt idx="15">
                  <c:v>2.250137545</c:v>
                </c:pt>
                <c:pt idx="16">
                  <c:v>2.250137545</c:v>
                </c:pt>
                <c:pt idx="17">
                  <c:v>2.250137545</c:v>
                </c:pt>
                <c:pt idx="18">
                  <c:v>2.250137545</c:v>
                </c:pt>
                <c:pt idx="19">
                  <c:v>2.250137545</c:v>
                </c:pt>
                <c:pt idx="20">
                  <c:v>2.250137545</c:v>
                </c:pt>
                <c:pt idx="21">
                  <c:v>2.250137545</c:v>
                </c:pt>
                <c:pt idx="22">
                  <c:v>2.250137545</c:v>
                </c:pt>
              </c:strCache>
            </c:strRef>
          </c:xVal>
          <c:yVal>
            <c:numRef>
              <c:f>'[9]WBI Guidelines'!$C$17:$C$43</c:f>
              <c:numCache>
                <c:formatCode>General</c:formatCode>
                <c:ptCount val="27"/>
                <c:pt idx="0">
                  <c:v>0</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numCache>
            </c:numRef>
          </c:yVal>
          <c:smooth val="0"/>
          <c:extLst>
            <c:ext xmlns:c16="http://schemas.microsoft.com/office/drawing/2014/chart" uri="{C3380CC4-5D6E-409C-BE32-E72D297353CC}">
              <c16:uniqueId val="{00000003-6923-4203-8401-9B21390347D7}"/>
            </c:ext>
          </c:extLst>
        </c:ser>
        <c:dLbls>
          <c:showLegendKey val="0"/>
          <c:showVal val="0"/>
          <c:showCatName val="0"/>
          <c:showSerName val="0"/>
          <c:showPercent val="0"/>
          <c:showBubbleSize val="0"/>
        </c:dLbls>
        <c:axId val="702545776"/>
        <c:axId val="1"/>
      </c:scatterChart>
      <c:valAx>
        <c:axId val="702545776"/>
        <c:scaling>
          <c:orientation val="minMax"/>
        </c:scaling>
        <c:delete val="0"/>
        <c:axPos val="b"/>
        <c:title>
          <c:tx>
            <c:rich>
              <a:bodyPr/>
              <a:lstStyle/>
              <a:p>
                <a:pPr>
                  <a:defRPr sz="300" b="1" i="0" u="none" strike="noStrike" baseline="0">
                    <a:solidFill>
                      <a:srgbClr val="000000"/>
                    </a:solidFill>
                    <a:latin typeface="Arial"/>
                    <a:ea typeface="Arial"/>
                    <a:cs typeface="Arial"/>
                  </a:defRPr>
                </a:pPr>
                <a:r>
                  <a:rPr lang="en-NZ"/>
                  <a:t>Infrastructure Leakage Index ILI</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n-US"/>
          </a:p>
        </c:txPr>
        <c:crossAx val="1"/>
        <c:crosses val="autoZero"/>
        <c:crossBetween val="midCat"/>
        <c:majorUnit val="1"/>
      </c:valAx>
      <c:valAx>
        <c:axId val="1"/>
        <c:scaling>
          <c:orientation val="minMax"/>
        </c:scaling>
        <c:delete val="0"/>
        <c:axPos val="l"/>
        <c:majorGridlines>
          <c:spPr>
            <a:ln w="3175">
              <a:solidFill>
                <a:srgbClr val="000000"/>
              </a:solidFill>
              <a:prstDash val="solid"/>
            </a:ln>
          </c:spPr>
        </c:majorGridlines>
        <c:title>
          <c:tx>
            <c:rich>
              <a:bodyPr/>
              <a:lstStyle/>
              <a:p>
                <a:pPr>
                  <a:defRPr sz="350" b="1" i="0" u="none" strike="noStrike" baseline="0">
                    <a:solidFill>
                      <a:srgbClr val="000000"/>
                    </a:solidFill>
                    <a:latin typeface="Arial"/>
                    <a:ea typeface="Arial"/>
                    <a:cs typeface="Arial"/>
                  </a:defRPr>
                </a:pPr>
                <a:r>
                  <a:rPr lang="en-NZ"/>
                  <a:t>Relative probability</a:t>
                </a:r>
              </a:p>
            </c:rich>
          </c:tx>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350" b="0" i="0" u="none" strike="noStrike" baseline="0">
                <a:solidFill>
                  <a:srgbClr val="000000"/>
                </a:solidFill>
                <a:latin typeface="Arial"/>
                <a:ea typeface="Arial"/>
                <a:cs typeface="Arial"/>
              </a:defRPr>
            </a:pPr>
            <a:endParaRPr lang="en-US"/>
          </a:p>
        </c:txPr>
        <c:crossAx val="702545776"/>
        <c:crosses val="autoZero"/>
        <c:crossBetween val="midCat"/>
      </c:valAx>
      <c:spPr>
        <a:solidFill>
          <a:srgbClr val="FFFFFF"/>
        </a:solidFill>
        <a:ln w="12700">
          <a:solidFill>
            <a:srgbClr val="808080"/>
          </a:solidFill>
          <a:prstDash val="solid"/>
        </a:ln>
      </c:spPr>
    </c:plotArea>
    <c:legend>
      <c:legendPos val="b"/>
      <c:overlay val="0"/>
      <c:spPr>
        <a:solidFill>
          <a:srgbClr val="FFFFFF"/>
        </a:solidFill>
        <a:ln w="3175">
          <a:solidFill>
            <a:srgbClr val="000000"/>
          </a:solidFill>
          <a:prstDash val="solid"/>
        </a:ln>
      </c:spPr>
      <c:txPr>
        <a:bodyPr/>
        <a:lstStyle/>
        <a:p>
          <a:pPr>
            <a:defRPr sz="84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75" b="0" i="0" u="none" strike="noStrike" baseline="0">
                <a:solidFill>
                  <a:srgbClr val="000000"/>
                </a:solidFill>
                <a:latin typeface="Arial"/>
                <a:ea typeface="Arial"/>
                <a:cs typeface="Arial"/>
              </a:defRPr>
            </a:pPr>
            <a:r>
              <a:rPr lang="en-NZ" sz="1050" b="1" i="0" u="none" strike="noStrike" baseline="0">
                <a:solidFill>
                  <a:srgbClr val="000000"/>
                </a:solidFill>
                <a:latin typeface="Arial"/>
                <a:cs typeface="Arial"/>
              </a:rPr>
              <a:t>ILI for this System (blue dotted line) compared with ILIs for 23 Systems in </a:t>
            </a:r>
            <a:r>
              <a:rPr lang="en-NZ" sz="1050" b="1" i="0" u="none" strike="noStrike" baseline="0">
                <a:solidFill>
                  <a:srgbClr val="FF6600"/>
                </a:solidFill>
                <a:latin typeface="Arial"/>
                <a:cs typeface="Arial"/>
              </a:rPr>
              <a:t>Australia</a:t>
            </a:r>
            <a:r>
              <a:rPr lang="en-NZ" sz="1050" b="1" i="0" u="none" strike="noStrike" baseline="0">
                <a:solidFill>
                  <a:srgbClr val="000000"/>
                </a:solidFill>
                <a:latin typeface="Arial"/>
                <a:cs typeface="Arial"/>
              </a:rPr>
              <a:t> and </a:t>
            </a:r>
            <a:r>
              <a:rPr lang="en-NZ" sz="1050" b="1" i="0" u="none" strike="noStrike" baseline="0">
                <a:solidFill>
                  <a:srgbClr val="00FF00"/>
                </a:solidFill>
                <a:latin typeface="Arial"/>
                <a:cs typeface="Arial"/>
              </a:rPr>
              <a:t>New Zealand</a:t>
            </a:r>
            <a:endParaRPr lang="en-NZ" sz="1050" b="1" i="0" u="none" strike="noStrike" baseline="0">
              <a:solidFill>
                <a:srgbClr val="000000"/>
              </a:solidFill>
              <a:latin typeface="Arial"/>
              <a:cs typeface="Arial"/>
            </a:endParaRPr>
          </a:p>
          <a:p>
            <a:pPr>
              <a:defRPr sz="875" b="0" i="0" u="none" strike="noStrike" baseline="0">
                <a:solidFill>
                  <a:srgbClr val="000000"/>
                </a:solidFill>
                <a:latin typeface="Arial"/>
                <a:ea typeface="Arial"/>
                <a:cs typeface="Arial"/>
              </a:defRPr>
            </a:pPr>
            <a:r>
              <a:rPr lang="en-NZ" sz="1050" b="1" i="0" u="none" strike="noStrike" baseline="0">
                <a:solidFill>
                  <a:srgbClr val="000000"/>
                </a:solidFill>
                <a:latin typeface="Arial"/>
                <a:cs typeface="Arial"/>
              </a:rPr>
              <a:t>(Data source: ILMSS Ltd, 2005)</a:t>
            </a:r>
          </a:p>
        </c:rich>
      </c:tx>
      <c:layout>
        <c:manualLayout>
          <c:xMode val="edge"/>
          <c:yMode val="edge"/>
          <c:x val="0.13077347062386432"/>
          <c:y val="1.6026314018440003E-2"/>
        </c:manualLayout>
      </c:layout>
      <c:overlay val="0"/>
      <c:spPr>
        <a:noFill/>
        <a:ln w="25400">
          <a:noFill/>
        </a:ln>
      </c:spPr>
    </c:title>
    <c:autoTitleDeleted val="0"/>
    <c:plotArea>
      <c:layout>
        <c:manualLayout>
          <c:layoutTarget val="inner"/>
          <c:xMode val="edge"/>
          <c:yMode val="edge"/>
          <c:x val="9.6157032697890651E-2"/>
          <c:y val="0.25321336752543622"/>
          <c:w val="0.81156535597019708"/>
          <c:h val="0.51604243255183835"/>
        </c:manualLayout>
      </c:layout>
      <c:barChart>
        <c:barDir val="col"/>
        <c:grouping val="clustered"/>
        <c:varyColors val="0"/>
        <c:ser>
          <c:idx val="0"/>
          <c:order val="0"/>
          <c:spPr>
            <a:solidFill>
              <a:srgbClr val="FF6600"/>
            </a:solidFill>
            <a:ln w="12700">
              <a:solidFill>
                <a:srgbClr val="FF6600"/>
              </a:solidFill>
              <a:prstDash val="solid"/>
            </a:ln>
          </c:spPr>
          <c:invertIfNegative val="0"/>
          <c:dPt>
            <c:idx val="2"/>
            <c:invertIfNegative val="0"/>
            <c:bubble3D val="0"/>
            <c:spPr>
              <a:solidFill>
                <a:srgbClr val="00FF00"/>
              </a:solidFill>
              <a:ln w="12700">
                <a:solidFill>
                  <a:srgbClr val="00FF00"/>
                </a:solidFill>
                <a:prstDash val="solid"/>
              </a:ln>
            </c:spPr>
            <c:extLst>
              <c:ext xmlns:c16="http://schemas.microsoft.com/office/drawing/2014/chart" uri="{C3380CC4-5D6E-409C-BE32-E72D297353CC}">
                <c16:uniqueId val="{00000001-C728-4D2E-A9D9-3DA9BE2038CB}"/>
              </c:ext>
            </c:extLst>
          </c:dPt>
          <c:dPt>
            <c:idx val="12"/>
            <c:invertIfNegative val="0"/>
            <c:bubble3D val="0"/>
            <c:spPr>
              <a:solidFill>
                <a:srgbClr val="00FF00"/>
              </a:solidFill>
              <a:ln w="12700">
                <a:solidFill>
                  <a:srgbClr val="00FF00"/>
                </a:solidFill>
                <a:prstDash val="solid"/>
              </a:ln>
            </c:spPr>
            <c:extLst>
              <c:ext xmlns:c16="http://schemas.microsoft.com/office/drawing/2014/chart" uri="{C3380CC4-5D6E-409C-BE32-E72D297353CC}">
                <c16:uniqueId val="{00000003-C728-4D2E-A9D9-3DA9BE2038CB}"/>
              </c:ext>
            </c:extLst>
          </c:dPt>
          <c:dPt>
            <c:idx val="13"/>
            <c:invertIfNegative val="0"/>
            <c:bubble3D val="0"/>
            <c:spPr>
              <a:solidFill>
                <a:srgbClr val="00FF00"/>
              </a:solidFill>
              <a:ln w="12700">
                <a:solidFill>
                  <a:srgbClr val="00FF00"/>
                </a:solidFill>
                <a:prstDash val="solid"/>
              </a:ln>
            </c:spPr>
            <c:extLst>
              <c:ext xmlns:c16="http://schemas.microsoft.com/office/drawing/2014/chart" uri="{C3380CC4-5D6E-409C-BE32-E72D297353CC}">
                <c16:uniqueId val="{00000005-C728-4D2E-A9D9-3DA9BE2038CB}"/>
              </c:ext>
            </c:extLst>
          </c:dPt>
          <c:dPt>
            <c:idx val="14"/>
            <c:invertIfNegative val="0"/>
            <c:bubble3D val="0"/>
            <c:spPr>
              <a:solidFill>
                <a:srgbClr val="00FF00"/>
              </a:solidFill>
              <a:ln w="12700">
                <a:solidFill>
                  <a:srgbClr val="00FF00"/>
                </a:solidFill>
                <a:prstDash val="solid"/>
              </a:ln>
            </c:spPr>
            <c:extLst>
              <c:ext xmlns:c16="http://schemas.microsoft.com/office/drawing/2014/chart" uri="{C3380CC4-5D6E-409C-BE32-E72D297353CC}">
                <c16:uniqueId val="{00000007-C728-4D2E-A9D9-3DA9BE2038CB}"/>
              </c:ext>
            </c:extLst>
          </c:dPt>
          <c:dPt>
            <c:idx val="20"/>
            <c:invertIfNegative val="0"/>
            <c:bubble3D val="0"/>
            <c:spPr>
              <a:solidFill>
                <a:srgbClr val="00FF00"/>
              </a:solidFill>
              <a:ln w="12700">
                <a:solidFill>
                  <a:srgbClr val="00FF00"/>
                </a:solidFill>
                <a:prstDash val="solid"/>
              </a:ln>
            </c:spPr>
            <c:extLst>
              <c:ext xmlns:c16="http://schemas.microsoft.com/office/drawing/2014/chart" uri="{C3380CC4-5D6E-409C-BE32-E72D297353CC}">
                <c16:uniqueId val="{00000009-C728-4D2E-A9D9-3DA9BE2038CB}"/>
              </c:ext>
            </c:extLst>
          </c:dPt>
          <c:val>
            <c:numRef>
              <c:f>'[9]WBI Guidelines'!$B$18:$B$39</c:f>
              <c:numCache>
                <c:formatCode>General</c:formatCode>
                <c:ptCount val="22"/>
                <c:pt idx="0">
                  <c:v>0.7</c:v>
                </c:pt>
                <c:pt idx="1">
                  <c:v>1</c:v>
                </c:pt>
                <c:pt idx="2">
                  <c:v>1</c:v>
                </c:pt>
                <c:pt idx="3">
                  <c:v>1</c:v>
                </c:pt>
                <c:pt idx="4">
                  <c:v>1</c:v>
                </c:pt>
                <c:pt idx="5">
                  <c:v>1.1000000000000001</c:v>
                </c:pt>
                <c:pt idx="6">
                  <c:v>1.2</c:v>
                </c:pt>
                <c:pt idx="7">
                  <c:v>1.2</c:v>
                </c:pt>
                <c:pt idx="8">
                  <c:v>1.2</c:v>
                </c:pt>
                <c:pt idx="9">
                  <c:v>1.35</c:v>
                </c:pt>
                <c:pt idx="10">
                  <c:v>1.4</c:v>
                </c:pt>
                <c:pt idx="11">
                  <c:v>1.5</c:v>
                </c:pt>
                <c:pt idx="12">
                  <c:v>1.5</c:v>
                </c:pt>
                <c:pt idx="13">
                  <c:v>1.6</c:v>
                </c:pt>
                <c:pt idx="14">
                  <c:v>1.6</c:v>
                </c:pt>
                <c:pt idx="15">
                  <c:v>1.6</c:v>
                </c:pt>
                <c:pt idx="16">
                  <c:v>1.7</c:v>
                </c:pt>
                <c:pt idx="17">
                  <c:v>1.8</c:v>
                </c:pt>
                <c:pt idx="18">
                  <c:v>2.5</c:v>
                </c:pt>
                <c:pt idx="19">
                  <c:v>3.6</c:v>
                </c:pt>
                <c:pt idx="20">
                  <c:v>3.6</c:v>
                </c:pt>
                <c:pt idx="21">
                  <c:v>5.8</c:v>
                </c:pt>
              </c:numCache>
            </c:numRef>
          </c:val>
          <c:extLst>
            <c:ext xmlns:c16="http://schemas.microsoft.com/office/drawing/2014/chart" uri="{C3380CC4-5D6E-409C-BE32-E72D297353CC}">
              <c16:uniqueId val="{0000000A-C728-4D2E-A9D9-3DA9BE2038CB}"/>
            </c:ext>
          </c:extLst>
        </c:ser>
        <c:ser>
          <c:idx val="4"/>
          <c:order val="1"/>
          <c:spPr>
            <a:solidFill>
              <a:srgbClr val="FFFFFF"/>
            </a:solidFill>
            <a:ln w="25400">
              <a:noFill/>
            </a:ln>
          </c:spPr>
          <c:invertIfNegative val="0"/>
          <c:trendline>
            <c:spPr>
              <a:ln w="38100">
                <a:solidFill>
                  <a:srgbClr val="0000FF"/>
                </a:solidFill>
                <a:prstDash val="lgDash"/>
              </a:ln>
            </c:spPr>
            <c:trendlineType val="linear"/>
            <c:dispRSqr val="0"/>
            <c:dispEq val="0"/>
          </c:trendline>
          <c:val>
            <c:numRef>
              <c:f>'[9]WBI Guidelines'!$F$18:$F$39</c:f>
              <c:numCache>
                <c:formatCode>General</c:formatCode>
                <c:ptCount val="22"/>
                <c:pt idx="0">
                  <c:v>2.2501375451384131</c:v>
                </c:pt>
                <c:pt idx="1">
                  <c:v>2.2501375451384131</c:v>
                </c:pt>
                <c:pt idx="2">
                  <c:v>2.2501375451384131</c:v>
                </c:pt>
                <c:pt idx="3">
                  <c:v>2.2501375451384131</c:v>
                </c:pt>
                <c:pt idx="4">
                  <c:v>2.2501375451384131</c:v>
                </c:pt>
                <c:pt idx="5">
                  <c:v>2.2501375451384131</c:v>
                </c:pt>
                <c:pt idx="6">
                  <c:v>2.2501375451384131</c:v>
                </c:pt>
                <c:pt idx="7">
                  <c:v>2.2501375451384131</c:v>
                </c:pt>
                <c:pt idx="8">
                  <c:v>2.2501375451384131</c:v>
                </c:pt>
                <c:pt idx="9">
                  <c:v>2.2501375451384131</c:v>
                </c:pt>
                <c:pt idx="10">
                  <c:v>2.2501375451384131</c:v>
                </c:pt>
                <c:pt idx="11">
                  <c:v>2.2501375451384131</c:v>
                </c:pt>
                <c:pt idx="12">
                  <c:v>2.2501375451384131</c:v>
                </c:pt>
                <c:pt idx="13">
                  <c:v>2.2501375451384131</c:v>
                </c:pt>
                <c:pt idx="14">
                  <c:v>2.2501375451384131</c:v>
                </c:pt>
                <c:pt idx="15">
                  <c:v>2.2501375451384131</c:v>
                </c:pt>
                <c:pt idx="16">
                  <c:v>2.2501375451384131</c:v>
                </c:pt>
                <c:pt idx="17">
                  <c:v>2.2501375451384131</c:v>
                </c:pt>
                <c:pt idx="18">
                  <c:v>2.2501375451384131</c:v>
                </c:pt>
                <c:pt idx="19">
                  <c:v>2.2501375451384131</c:v>
                </c:pt>
                <c:pt idx="20">
                  <c:v>2.2501375451384131</c:v>
                </c:pt>
                <c:pt idx="21">
                  <c:v>2.2501375451384131</c:v>
                </c:pt>
              </c:numCache>
            </c:numRef>
          </c:val>
          <c:extLst>
            <c:ext xmlns:c16="http://schemas.microsoft.com/office/drawing/2014/chart" uri="{C3380CC4-5D6E-409C-BE32-E72D297353CC}">
              <c16:uniqueId val="{0000000C-C728-4D2E-A9D9-3DA9BE2038CB}"/>
            </c:ext>
          </c:extLst>
        </c:ser>
        <c:dLbls>
          <c:showLegendKey val="0"/>
          <c:showVal val="0"/>
          <c:showCatName val="0"/>
          <c:showSerName val="0"/>
          <c:showPercent val="0"/>
          <c:showBubbleSize val="0"/>
        </c:dLbls>
        <c:gapWidth val="150"/>
        <c:axId val="791724800"/>
        <c:axId val="1"/>
      </c:barChart>
      <c:catAx>
        <c:axId val="79172480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FFFFFF"/>
              </a:solidFill>
              <a:prstDash val="solid"/>
            </a:ln>
          </c:spPr>
        </c:majorGridlines>
        <c:title>
          <c:tx>
            <c:rich>
              <a:bodyPr/>
              <a:lstStyle/>
              <a:p>
                <a:pPr>
                  <a:defRPr sz="800" b="1" i="0" u="none" strike="noStrike" baseline="0">
                    <a:solidFill>
                      <a:srgbClr val="000000"/>
                    </a:solidFill>
                    <a:latin typeface="Arial"/>
                    <a:ea typeface="Arial"/>
                    <a:cs typeface="Arial"/>
                  </a:defRPr>
                </a:pPr>
                <a:r>
                  <a:rPr lang="en-NZ"/>
                  <a:t>Infrastructure Leakage Index ILI</a:t>
                </a:r>
              </a:p>
            </c:rich>
          </c:tx>
          <c:layout>
            <c:manualLayout>
              <c:xMode val="edge"/>
              <c:yMode val="edge"/>
              <c:x val="1.9231374924288312E-2"/>
              <c:y val="0.2211609125782354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79172480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3" verticalDpi="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216916</xdr:colOff>
      <xdr:row>131</xdr:row>
      <xdr:rowOff>174493</xdr:rowOff>
    </xdr:from>
    <xdr:to>
      <xdr:col>6</xdr:col>
      <xdr:colOff>1483180</xdr:colOff>
      <xdr:row>135</xdr:row>
      <xdr:rowOff>530680</xdr:rowOff>
    </xdr:to>
    <xdr:graphicFrame macro="">
      <xdr:nvGraphicFramePr>
        <xdr:cNvPr id="3" name="Chart 2">
          <a:extLst>
            <a:ext uri="{FF2B5EF4-FFF2-40B4-BE49-F238E27FC236}">
              <a16:creationId xmlns:a16="http://schemas.microsoft.com/office/drawing/2014/main" id="{BC35E6CB-3009-4F28-9B9B-B1765C0E1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132</xdr:row>
      <xdr:rowOff>33618</xdr:rowOff>
    </xdr:from>
    <xdr:to>
      <xdr:col>8</xdr:col>
      <xdr:colOff>1269205</xdr:colOff>
      <xdr:row>136</xdr:row>
      <xdr:rowOff>83345</xdr:rowOff>
    </xdr:to>
    <xdr:graphicFrame macro="">
      <xdr:nvGraphicFramePr>
        <xdr:cNvPr id="4" name="Chart 3">
          <a:extLst>
            <a:ext uri="{FF2B5EF4-FFF2-40B4-BE49-F238E27FC236}">
              <a16:creationId xmlns:a16="http://schemas.microsoft.com/office/drawing/2014/main" id="{DC82CBC5-73D2-423C-A1AE-E5A4E45C0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132</xdr:row>
      <xdr:rowOff>33618</xdr:rowOff>
    </xdr:from>
    <xdr:to>
      <xdr:col>9</xdr:col>
      <xdr:colOff>1269205</xdr:colOff>
      <xdr:row>136</xdr:row>
      <xdr:rowOff>83345</xdr:rowOff>
    </xdr:to>
    <xdr:graphicFrame macro="">
      <xdr:nvGraphicFramePr>
        <xdr:cNvPr id="5" name="Chart 4">
          <a:extLst>
            <a:ext uri="{FF2B5EF4-FFF2-40B4-BE49-F238E27FC236}">
              <a16:creationId xmlns:a16="http://schemas.microsoft.com/office/drawing/2014/main" id="{3859097A-24FE-45A9-BC82-D6A605A67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132</xdr:row>
      <xdr:rowOff>11206</xdr:rowOff>
    </xdr:from>
    <xdr:to>
      <xdr:col>11</xdr:col>
      <xdr:colOff>1269205</xdr:colOff>
      <xdr:row>136</xdr:row>
      <xdr:rowOff>83345</xdr:rowOff>
    </xdr:to>
    <xdr:graphicFrame macro="">
      <xdr:nvGraphicFramePr>
        <xdr:cNvPr id="6" name="Chart 5">
          <a:extLst>
            <a:ext uri="{FF2B5EF4-FFF2-40B4-BE49-F238E27FC236}">
              <a16:creationId xmlns:a16="http://schemas.microsoft.com/office/drawing/2014/main" id="{18B8EBDE-E5FF-4C0A-9F02-DE166C2CE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132</xdr:row>
      <xdr:rowOff>33618</xdr:rowOff>
    </xdr:from>
    <xdr:to>
      <xdr:col>13</xdr:col>
      <xdr:colOff>1269205</xdr:colOff>
      <xdr:row>136</xdr:row>
      <xdr:rowOff>83345</xdr:rowOff>
    </xdr:to>
    <xdr:graphicFrame macro="">
      <xdr:nvGraphicFramePr>
        <xdr:cNvPr id="7" name="Chart 6">
          <a:extLst>
            <a:ext uri="{FF2B5EF4-FFF2-40B4-BE49-F238E27FC236}">
              <a16:creationId xmlns:a16="http://schemas.microsoft.com/office/drawing/2014/main" id="{743C7530-DF0D-48A9-9D30-8B047BDD0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132</xdr:row>
      <xdr:rowOff>11206</xdr:rowOff>
    </xdr:from>
    <xdr:to>
      <xdr:col>12</xdr:col>
      <xdr:colOff>1269205</xdr:colOff>
      <xdr:row>136</xdr:row>
      <xdr:rowOff>83345</xdr:rowOff>
    </xdr:to>
    <xdr:graphicFrame macro="">
      <xdr:nvGraphicFramePr>
        <xdr:cNvPr id="8" name="Chart 7">
          <a:extLst>
            <a:ext uri="{FF2B5EF4-FFF2-40B4-BE49-F238E27FC236}">
              <a16:creationId xmlns:a16="http://schemas.microsoft.com/office/drawing/2014/main" id="{F7928618-EE36-414D-B0B6-40B57F45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132</xdr:row>
      <xdr:rowOff>44824</xdr:rowOff>
    </xdr:from>
    <xdr:to>
      <xdr:col>14</xdr:col>
      <xdr:colOff>1269205</xdr:colOff>
      <xdr:row>136</xdr:row>
      <xdr:rowOff>83345</xdr:rowOff>
    </xdr:to>
    <xdr:graphicFrame macro="">
      <xdr:nvGraphicFramePr>
        <xdr:cNvPr id="9" name="Chart 8">
          <a:extLst>
            <a:ext uri="{FF2B5EF4-FFF2-40B4-BE49-F238E27FC236}">
              <a16:creationId xmlns:a16="http://schemas.microsoft.com/office/drawing/2014/main" id="{7B5823D0-1D2D-4D9D-9C94-B14745A5E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131</xdr:row>
      <xdr:rowOff>0</xdr:rowOff>
    </xdr:from>
    <xdr:to>
      <xdr:col>15</xdr:col>
      <xdr:colOff>1264443</xdr:colOff>
      <xdr:row>136</xdr:row>
      <xdr:rowOff>83345</xdr:rowOff>
    </xdr:to>
    <xdr:graphicFrame macro="">
      <xdr:nvGraphicFramePr>
        <xdr:cNvPr id="10" name="Chart 9">
          <a:extLst>
            <a:ext uri="{FF2B5EF4-FFF2-40B4-BE49-F238E27FC236}">
              <a16:creationId xmlns:a16="http://schemas.microsoft.com/office/drawing/2014/main" id="{4BBFEF6F-0784-48EB-A774-A88125C681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11206</xdr:colOff>
      <xdr:row>132</xdr:row>
      <xdr:rowOff>27175</xdr:rowOff>
    </xdr:from>
    <xdr:to>
      <xdr:col>8</xdr:col>
      <xdr:colOff>7702</xdr:colOff>
      <xdr:row>136</xdr:row>
      <xdr:rowOff>1</xdr:rowOff>
    </xdr:to>
    <xdr:graphicFrame macro="">
      <xdr:nvGraphicFramePr>
        <xdr:cNvPr id="11" name="Chart 10">
          <a:extLst>
            <a:ext uri="{FF2B5EF4-FFF2-40B4-BE49-F238E27FC236}">
              <a16:creationId xmlns:a16="http://schemas.microsoft.com/office/drawing/2014/main" id="{C8984749-1F12-40E1-A883-250391A2E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29135</xdr:colOff>
      <xdr:row>177</xdr:row>
      <xdr:rowOff>21112</xdr:rowOff>
    </xdr:from>
    <xdr:to>
      <xdr:col>19</xdr:col>
      <xdr:colOff>51955</xdr:colOff>
      <xdr:row>190</xdr:row>
      <xdr:rowOff>155864</xdr:rowOff>
    </xdr:to>
    <xdr:graphicFrame macro="">
      <xdr:nvGraphicFramePr>
        <xdr:cNvPr id="13" name="Chart 12">
          <a:extLst>
            <a:ext uri="{FF2B5EF4-FFF2-40B4-BE49-F238E27FC236}">
              <a16:creationId xmlns:a16="http://schemas.microsoft.com/office/drawing/2014/main" id="{EF72A3B6-52FF-401A-B6CB-AFAA6B195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0</xdr:colOff>
      <xdr:row>132</xdr:row>
      <xdr:rowOff>11206</xdr:rowOff>
    </xdr:from>
    <xdr:to>
      <xdr:col>10</xdr:col>
      <xdr:colOff>1269205</xdr:colOff>
      <xdr:row>136</xdr:row>
      <xdr:rowOff>83345</xdr:rowOff>
    </xdr:to>
    <xdr:graphicFrame macro="">
      <xdr:nvGraphicFramePr>
        <xdr:cNvPr id="12" name="Chart 11">
          <a:extLst>
            <a:ext uri="{FF2B5EF4-FFF2-40B4-BE49-F238E27FC236}">
              <a16:creationId xmlns:a16="http://schemas.microsoft.com/office/drawing/2014/main" id="{9DDCAACE-4C4E-4935-B170-27A201FE2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39398</xdr:colOff>
      <xdr:row>193</xdr:row>
      <xdr:rowOff>17319</xdr:rowOff>
    </xdr:from>
    <xdr:to>
      <xdr:col>19</xdr:col>
      <xdr:colOff>121227</xdr:colOff>
      <xdr:row>210</xdr:row>
      <xdr:rowOff>121228</xdr:rowOff>
    </xdr:to>
    <xdr:graphicFrame macro="">
      <xdr:nvGraphicFramePr>
        <xdr:cNvPr id="15" name="Chart 14">
          <a:extLst>
            <a:ext uri="{FF2B5EF4-FFF2-40B4-BE49-F238E27FC236}">
              <a16:creationId xmlns:a16="http://schemas.microsoft.com/office/drawing/2014/main" id="{C906F959-D444-4336-904D-39743C347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27214</xdr:colOff>
      <xdr:row>145</xdr:row>
      <xdr:rowOff>113620</xdr:rowOff>
    </xdr:from>
    <xdr:to>
      <xdr:col>18</xdr:col>
      <xdr:colOff>952499</xdr:colOff>
      <xdr:row>160</xdr:row>
      <xdr:rowOff>65294</xdr:rowOff>
    </xdr:to>
    <xdr:graphicFrame macro="">
      <xdr:nvGraphicFramePr>
        <xdr:cNvPr id="16" name="Chart 15">
          <a:extLst>
            <a:ext uri="{FF2B5EF4-FFF2-40B4-BE49-F238E27FC236}">
              <a16:creationId xmlns:a16="http://schemas.microsoft.com/office/drawing/2014/main" id="{549CE218-4326-438F-A4B7-D3E1839B7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29134</xdr:colOff>
      <xdr:row>161</xdr:row>
      <xdr:rowOff>21112</xdr:rowOff>
    </xdr:from>
    <xdr:to>
      <xdr:col>18</xdr:col>
      <xdr:colOff>1125681</xdr:colOff>
      <xdr:row>175</xdr:row>
      <xdr:rowOff>154441</xdr:rowOff>
    </xdr:to>
    <xdr:graphicFrame macro="">
      <xdr:nvGraphicFramePr>
        <xdr:cNvPr id="17" name="Chart 16">
          <a:extLst>
            <a:ext uri="{FF2B5EF4-FFF2-40B4-BE49-F238E27FC236}">
              <a16:creationId xmlns:a16="http://schemas.microsoft.com/office/drawing/2014/main" id="{91B3C1D5-2AE5-475B-A7C2-4E602F572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0</xdr:colOff>
      <xdr:row>131</xdr:row>
      <xdr:rowOff>0</xdr:rowOff>
    </xdr:from>
    <xdr:to>
      <xdr:col>16</xdr:col>
      <xdr:colOff>1264443</xdr:colOff>
      <xdr:row>136</xdr:row>
      <xdr:rowOff>83345</xdr:rowOff>
    </xdr:to>
    <xdr:graphicFrame macro="">
      <xdr:nvGraphicFramePr>
        <xdr:cNvPr id="14" name="Chart 13">
          <a:extLst>
            <a:ext uri="{FF2B5EF4-FFF2-40B4-BE49-F238E27FC236}">
              <a16:creationId xmlns:a16="http://schemas.microsoft.com/office/drawing/2014/main" id="{870F8CE9-6014-4403-BB6A-94BE76889E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0</xdr:colOff>
      <xdr:row>131</xdr:row>
      <xdr:rowOff>0</xdr:rowOff>
    </xdr:from>
    <xdr:to>
      <xdr:col>17</xdr:col>
      <xdr:colOff>1264443</xdr:colOff>
      <xdr:row>136</xdr:row>
      <xdr:rowOff>83345</xdr:rowOff>
    </xdr:to>
    <xdr:graphicFrame macro="">
      <xdr:nvGraphicFramePr>
        <xdr:cNvPr id="18" name="Chart 17">
          <a:extLst>
            <a:ext uri="{FF2B5EF4-FFF2-40B4-BE49-F238E27FC236}">
              <a16:creationId xmlns:a16="http://schemas.microsoft.com/office/drawing/2014/main" id="{6B71E27A-C5E3-48EB-81AC-4BAEFCB8D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131</xdr:row>
      <xdr:rowOff>0</xdr:rowOff>
    </xdr:from>
    <xdr:to>
      <xdr:col>18</xdr:col>
      <xdr:colOff>1264443</xdr:colOff>
      <xdr:row>136</xdr:row>
      <xdr:rowOff>83345</xdr:rowOff>
    </xdr:to>
    <xdr:graphicFrame macro="">
      <xdr:nvGraphicFramePr>
        <xdr:cNvPr id="19" name="Chart 18">
          <a:extLst>
            <a:ext uri="{FF2B5EF4-FFF2-40B4-BE49-F238E27FC236}">
              <a16:creationId xmlns:a16="http://schemas.microsoft.com/office/drawing/2014/main" id="{F98DB445-70D5-4F03-8FDA-0A7C11D9B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687161</xdr:colOff>
      <xdr:row>56</xdr:row>
      <xdr:rowOff>163286</xdr:rowOff>
    </xdr:from>
    <xdr:to>
      <xdr:col>6</xdr:col>
      <xdr:colOff>655863</xdr:colOff>
      <xdr:row>62</xdr:row>
      <xdr:rowOff>123144</xdr:rowOff>
    </xdr:to>
    <xdr:pic>
      <xdr:nvPicPr>
        <xdr:cNvPr id="2" name="Picture 1">
          <a:extLst>
            <a:ext uri="{FF2B5EF4-FFF2-40B4-BE49-F238E27FC236}">
              <a16:creationId xmlns:a16="http://schemas.microsoft.com/office/drawing/2014/main" id="{8E01D461-4BAE-4098-1798-D0046F4A4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66982" y="12015107"/>
          <a:ext cx="4629150" cy="10572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20</xdr:col>
      <xdr:colOff>216832</xdr:colOff>
      <xdr:row>1</xdr:row>
      <xdr:rowOff>161923</xdr:rowOff>
    </xdr:from>
    <xdr:to>
      <xdr:col>28</xdr:col>
      <xdr:colOff>627529</xdr:colOff>
      <xdr:row>18</xdr:row>
      <xdr:rowOff>78441</xdr:rowOff>
    </xdr:to>
    <xdr:graphicFrame macro="">
      <xdr:nvGraphicFramePr>
        <xdr:cNvPr id="5" name="Chart 4">
          <a:extLst>
            <a:ext uri="{FF2B5EF4-FFF2-40B4-BE49-F238E27FC236}">
              <a16:creationId xmlns:a16="http://schemas.microsoft.com/office/drawing/2014/main" id="{41349904-8AD9-E466-7888-572495AA0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485773</xdr:colOff>
      <xdr:row>18</xdr:row>
      <xdr:rowOff>123543</xdr:rowOff>
    </xdr:from>
    <xdr:to>
      <xdr:col>28</xdr:col>
      <xdr:colOff>217673</xdr:colOff>
      <xdr:row>32</xdr:row>
      <xdr:rowOff>89646</xdr:rowOff>
    </xdr:to>
    <xdr:graphicFrame macro="">
      <xdr:nvGraphicFramePr>
        <xdr:cNvPr id="6" name="Chart 5">
          <a:extLst>
            <a:ext uri="{FF2B5EF4-FFF2-40B4-BE49-F238E27FC236}">
              <a16:creationId xmlns:a16="http://schemas.microsoft.com/office/drawing/2014/main" id="{375638DE-1A8E-FB9A-5E15-C5488F669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549090</xdr:colOff>
      <xdr:row>33</xdr:row>
      <xdr:rowOff>33618</xdr:rowOff>
    </xdr:from>
    <xdr:to>
      <xdr:col>28</xdr:col>
      <xdr:colOff>280990</xdr:colOff>
      <xdr:row>47</xdr:row>
      <xdr:rowOff>4483</xdr:rowOff>
    </xdr:to>
    <xdr:graphicFrame macro="">
      <xdr:nvGraphicFramePr>
        <xdr:cNvPr id="7" name="Chart 6">
          <a:extLst>
            <a:ext uri="{FF2B5EF4-FFF2-40B4-BE49-F238E27FC236}">
              <a16:creationId xmlns:a16="http://schemas.microsoft.com/office/drawing/2014/main" id="{2AEA5C10-F8D6-48CE-9A1C-87A49552E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0</xdr:colOff>
      <xdr:row>49</xdr:row>
      <xdr:rowOff>0</xdr:rowOff>
    </xdr:from>
    <xdr:to>
      <xdr:col>28</xdr:col>
      <xdr:colOff>381842</xdr:colOff>
      <xdr:row>62</xdr:row>
      <xdr:rowOff>150160</xdr:rowOff>
    </xdr:to>
    <xdr:graphicFrame macro="">
      <xdr:nvGraphicFramePr>
        <xdr:cNvPr id="2" name="Chart 1">
          <a:extLst>
            <a:ext uri="{FF2B5EF4-FFF2-40B4-BE49-F238E27FC236}">
              <a16:creationId xmlns:a16="http://schemas.microsoft.com/office/drawing/2014/main" id="{CC858326-87BC-4CE1-A7E4-CBC456F5C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41</xdr:row>
      <xdr:rowOff>0</xdr:rowOff>
    </xdr:from>
    <xdr:to>
      <xdr:col>7</xdr:col>
      <xdr:colOff>9525</xdr:colOff>
      <xdr:row>41</xdr:row>
      <xdr:rowOff>0</xdr:rowOff>
    </xdr:to>
    <xdr:graphicFrame macro="">
      <xdr:nvGraphicFramePr>
        <xdr:cNvPr id="2" name="Chart 2">
          <a:extLst>
            <a:ext uri="{FF2B5EF4-FFF2-40B4-BE49-F238E27FC236}">
              <a16:creationId xmlns:a16="http://schemas.microsoft.com/office/drawing/2014/main" id="{F190CF3A-7050-4480-A483-A864CC5EF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xdr:colOff>
      <xdr:row>44</xdr:row>
      <xdr:rowOff>0</xdr:rowOff>
    </xdr:from>
    <xdr:to>
      <xdr:col>14</xdr:col>
      <xdr:colOff>0</xdr:colOff>
      <xdr:row>44</xdr:row>
      <xdr:rowOff>0</xdr:rowOff>
    </xdr:to>
    <xdr:sp macro="" textlink="" fLocksText="0">
      <xdr:nvSpPr>
        <xdr:cNvPr id="3" name="Rectangle 4">
          <a:extLst>
            <a:ext uri="{FF2B5EF4-FFF2-40B4-BE49-F238E27FC236}">
              <a16:creationId xmlns:a16="http://schemas.microsoft.com/office/drawing/2014/main" id="{C8A1363B-D160-4FCA-B409-78EBEA1A47C4}"/>
            </a:ext>
          </a:extLst>
        </xdr:cNvPr>
        <xdr:cNvSpPr>
          <a:spLocks noChangeArrowheads="1"/>
        </xdr:cNvSpPr>
      </xdr:nvSpPr>
      <xdr:spPr bwMode="auto">
        <a:xfrm>
          <a:off x="5976938" y="8401050"/>
          <a:ext cx="4562475" cy="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GB" sz="1000" b="1" i="0" u="none" strike="noStrike" baseline="0">
              <a:solidFill>
                <a:srgbClr val="000000"/>
              </a:solidFill>
              <a:latin typeface="Arial"/>
              <a:cs typeface="Arial"/>
            </a:rPr>
            <a:t>Any other comments   </a:t>
          </a:r>
          <a:endParaRPr lang="en-GB"/>
        </a:p>
      </xdr:txBody>
    </xdr:sp>
    <xdr:clientData/>
  </xdr:twoCellAnchor>
  <xdr:twoCellAnchor>
    <xdr:from>
      <xdr:col>1</xdr:col>
      <xdr:colOff>0</xdr:colOff>
      <xdr:row>11</xdr:row>
      <xdr:rowOff>371475</xdr:rowOff>
    </xdr:from>
    <xdr:to>
      <xdr:col>6</xdr:col>
      <xdr:colOff>838200</xdr:colOff>
      <xdr:row>40</xdr:row>
      <xdr:rowOff>285750</xdr:rowOff>
    </xdr:to>
    <xdr:graphicFrame macro="">
      <xdr:nvGraphicFramePr>
        <xdr:cNvPr id="4" name="Chart 6">
          <a:extLst>
            <a:ext uri="{FF2B5EF4-FFF2-40B4-BE49-F238E27FC236}">
              <a16:creationId xmlns:a16="http://schemas.microsoft.com/office/drawing/2014/main" id="{E442FEE8-6970-4433-A461-E37618975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Water%20Balance%20and%20Capacity%20Projection.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Water%20Balance%20and%20Capacity%20Projec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Hawea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Hawea_Benchloss%20inputs_V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Lake%20Hayes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Lake%20Hayes_Benchloss%20inputs_V1.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Shotover%20Country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Shotover%20Country_Benchloss%20inputs_V1.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Luggate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Luggate_Benchloss%20inputs_V1.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Queenstown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Queenstown_Benchloss%20inputs_V1.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Wanaka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Wanaka_Benchloss%20inputs_V1.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VaughnCrowther\Utility%20Dropbox\Utility%20Projects\Projects\QLDC\J000054%20-%20S&amp;P%20Secondment\4%20-%20Working%20Files\Demand%20and%20Capacity%20Management\Water%20Supply\Water%20Balance\Arrowtown_Benchloss%20inputs_V1.xlsx" TargetMode="External"/><Relationship Id="rId1" Type="http://schemas.openxmlformats.org/officeDocument/2006/relationships/externalLinkPath" Target="/Users/VaughnCrowther/Utility%20Dropbox/Utility%20Projects/Projects/QLDC/J000054%20-%20S&amp;P%20Secondment/4%20-%20Working%20Files/Demand%20and%20Capacity%20Management/Water%20Supply/Water%20Balance/Arrowtown_Benchloss%20inputs_V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VaughnCrowther/Dropbox%20(Utility)/Utility%20Projects/Projects/CODC/1077%20-%20Volumetric%20Charging%20Review/3%20-%20Background%20Info/CheckCalcs%20NZ%20May%20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sheetName val="Headworks Capacity"/>
      <sheetName val="WDMP"/>
      <sheetName val="GY - Demand Profile"/>
      <sheetName val="PowerBI Demand Profile"/>
      <sheetName val="Annual Demand Profile"/>
      <sheetName val="Freq Exceedance Graphs"/>
      <sheetName val="Consents"/>
      <sheetName val="Pump Capacity"/>
      <sheetName val="Plant and Storage Capacity"/>
      <sheetName val="Rising - Falling Main"/>
      <sheetName val="Trunk Mains"/>
      <sheetName val="Leakage Guide"/>
      <sheetName val="Volumetric Charge vs NZ"/>
    </sheetNames>
    <sheetDataSet>
      <sheetData sheetId="0">
        <row r="8">
          <cell r="F8">
            <v>828051.23098780331</v>
          </cell>
          <cell r="G8">
            <v>190844</v>
          </cell>
          <cell r="H8">
            <v>205962.16131539992</v>
          </cell>
          <cell r="I8">
            <v>478773.32521274267</v>
          </cell>
          <cell r="J8">
            <v>318803</v>
          </cell>
          <cell r="K8">
            <v>94160</v>
          </cell>
          <cell r="L8">
            <v>698199.35453665443</v>
          </cell>
          <cell r="M8">
            <v>4843075</v>
          </cell>
          <cell r="N8">
            <v>3519466.9000000097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Assumptions"/>
      <sheetName val="Inputs"/>
      <sheetName val="202111 connections"/>
      <sheetName val="Pipe lengths and pressure"/>
      <sheetName val="UARL Calcs"/>
      <sheetName val="Council use"/>
      <sheetName val="Hawea_Benchloss inputs_V1"/>
    </sheetNames>
    <sheetDataSet>
      <sheetData sheetId="0">
        <row r="8">
          <cell r="B8">
            <v>478.77332521274269</v>
          </cell>
        </row>
      </sheetData>
      <sheetData sheetId="1">
        <row r="3">
          <cell r="I3">
            <v>687.6</v>
          </cell>
        </row>
      </sheetData>
      <sheetData sheetId="2"/>
      <sheetData sheetId="3"/>
      <sheetData sheetId="4">
        <row r="8">
          <cell r="J8">
            <v>34.414999999999999</v>
          </cell>
        </row>
      </sheetData>
      <sheetData sheetId="5"/>
      <sheetData sheetId="6"/>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Assumptions"/>
      <sheetName val="202111 connections"/>
      <sheetName val="Pipe lengths and pressure"/>
      <sheetName val="UARL Calcs"/>
      <sheetName val="Council use"/>
    </sheetNames>
    <sheetDataSet>
      <sheetData sheetId="0">
        <row r="5">
          <cell r="B5">
            <v>44020</v>
          </cell>
        </row>
      </sheetData>
      <sheetData sheetId="1"/>
      <sheetData sheetId="2"/>
      <sheetData sheetId="3">
        <row r="10">
          <cell r="J10">
            <v>61.459429999999998</v>
          </cell>
        </row>
      </sheetData>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Assumptions"/>
      <sheetName val="Inputs"/>
      <sheetName val="SOC 2021 connections"/>
      <sheetName val="202111 connections"/>
      <sheetName val="Pipe lengths and pressure"/>
      <sheetName val="UARL Calcs"/>
      <sheetName val="Council use"/>
      <sheetName val="Shotover Country_Benchloss inpu"/>
    </sheetNames>
    <sheetDataSet>
      <sheetData sheetId="0">
        <row r="8">
          <cell r="B8">
            <v>698.19935453665448</v>
          </cell>
        </row>
      </sheetData>
      <sheetData sheetId="1">
        <row r="3">
          <cell r="I3">
            <v>1066.0999999999999</v>
          </cell>
        </row>
      </sheetData>
      <sheetData sheetId="2"/>
      <sheetData sheetId="3"/>
      <sheetData sheetId="4"/>
      <sheetData sheetId="5">
        <row r="11">
          <cell r="J11">
            <v>22.731570000000001</v>
          </cell>
        </row>
      </sheetData>
      <sheetData sheetId="6"/>
      <sheetData sheetId="7"/>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Pipe lengths and pressure"/>
      <sheetName val="UARL Calcs"/>
    </sheetNames>
    <sheetDataSet>
      <sheetData sheetId="0">
        <row r="5">
          <cell r="B5">
            <v>44014</v>
          </cell>
        </row>
      </sheetData>
      <sheetData sheetId="1">
        <row r="12">
          <cell r="J12">
            <v>9.2370000000000001</v>
          </cell>
        </row>
      </sheetData>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Assumptions"/>
      <sheetName val="Inputs"/>
      <sheetName val="202111 connections"/>
      <sheetName val="Pipe lengths and pressure"/>
      <sheetName val="UARL Calcs"/>
      <sheetName val="Council use"/>
      <sheetName val="Queenstown_Benchloss inputs_V1"/>
    </sheetNames>
    <sheetDataSet>
      <sheetData sheetId="0">
        <row r="12">
          <cell r="C12" t="str">
            <v>Queenstown Airport. This is the only billed metered customer with data available. Average consumption over 2020/21 is unknown. Estimated from 2019 data X visitor reduction.</v>
          </cell>
        </row>
      </sheetData>
      <sheetData sheetId="1">
        <row r="12">
          <cell r="C12">
            <v>6243</v>
          </cell>
        </row>
      </sheetData>
      <sheetData sheetId="2"/>
      <sheetData sheetId="3">
        <row r="12">
          <cell r="C12" t="str">
            <v>General Rate - Country Dwg</v>
          </cell>
        </row>
      </sheetData>
      <sheetData sheetId="4">
        <row r="13">
          <cell r="C13">
            <v>34449</v>
          </cell>
          <cell r="J13">
            <v>204.601</v>
          </cell>
        </row>
      </sheetData>
      <sheetData sheetId="5"/>
      <sheetData sheetId="6">
        <row r="12">
          <cell r="C12" t="str">
            <v>QLDC irrigation systems</v>
          </cell>
        </row>
      </sheetData>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Assumptions"/>
      <sheetName val="Inputs"/>
      <sheetName val="202111 connections"/>
      <sheetName val="Pipe lengths and pressure"/>
      <sheetName val="UARL Calcs"/>
      <sheetName val="Council use"/>
      <sheetName val="Wanaka_Benchloss inputs_V1"/>
    </sheetNames>
    <sheetDataSet>
      <sheetData sheetId="0">
        <row r="8">
          <cell r="B8">
            <v>3519.4669000000099</v>
          </cell>
        </row>
      </sheetData>
      <sheetData sheetId="1">
        <row r="3">
          <cell r="I3">
            <v>5209</v>
          </cell>
        </row>
      </sheetData>
      <sheetData sheetId="2"/>
      <sheetData sheetId="3">
        <row r="11">
          <cell r="C11" t="str">
            <v>General Rate - Accommodation</v>
          </cell>
        </row>
      </sheetData>
      <sheetData sheetId="4">
        <row r="14">
          <cell r="C14">
            <v>43092</v>
          </cell>
          <cell r="J14">
            <v>258.13799999999998</v>
          </cell>
        </row>
      </sheetData>
      <sheetData sheetId="5"/>
      <sheetData sheetId="6">
        <row r="12">
          <cell r="C12" t="str">
            <v>QLDC irrigation systems</v>
          </cell>
        </row>
      </sheetData>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ater balance inputs"/>
      <sheetName val="Assumptions"/>
      <sheetName val="Inputs"/>
      <sheetName val="202111 connections"/>
      <sheetName val="Pipe lengths and pressure"/>
      <sheetName val="UARL Calcs"/>
      <sheetName val="Council use"/>
      <sheetName val="Arrowtown_Benchloss inputs_V1"/>
    </sheetNames>
    <sheetDataSet>
      <sheetData sheetId="0">
        <row r="12">
          <cell r="C12" t="str">
            <v>Millbrook estate. This is the only billed metered customer and is a bulk connection (properties within Millbrook are not separately rated). Average consumption over 2020/21 from scheme demand analysis file</v>
          </cell>
        </row>
      </sheetData>
      <sheetData sheetId="1">
        <row r="12">
          <cell r="C12">
            <v>1316</v>
          </cell>
        </row>
        <row r="20">
          <cell r="J20">
            <v>159.71848300519935</v>
          </cell>
        </row>
      </sheetData>
      <sheetData sheetId="2"/>
      <sheetData sheetId="3">
        <row r="12">
          <cell r="C12" t="str">
            <v>General Rate - Country Dwg</v>
          </cell>
        </row>
      </sheetData>
      <sheetData sheetId="4">
        <row r="13">
          <cell r="C13">
            <v>34449</v>
          </cell>
        </row>
      </sheetData>
      <sheetData sheetId="5"/>
      <sheetData sheetId="6">
        <row r="12">
          <cell r="C12" t="str">
            <v>QLDC irrigation systems</v>
          </cell>
        </row>
      </sheetData>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cence"/>
      <sheetName val="Working Notes"/>
      <sheetName val="Intro"/>
      <sheetName val="4 Comps"/>
      <sheetName val="Terminology"/>
      <sheetName val="System Info"/>
      <sheetName val="Water Balance"/>
      <sheetName val="RunningCosts"/>
      <sheetName val="Performance"/>
      <sheetName val="WBI Guidelines"/>
      <sheetName val="PMOpportunities"/>
      <sheetName val="Twin Track"/>
    </sheetNames>
    <sheetDataSet>
      <sheetData sheetId="0"/>
      <sheetData sheetId="1"/>
      <sheetData sheetId="2"/>
      <sheetData sheetId="3"/>
      <sheetData sheetId="4"/>
      <sheetData sheetId="5"/>
      <sheetData sheetId="6"/>
      <sheetData sheetId="7"/>
      <sheetData sheetId="8"/>
      <sheetData sheetId="9">
        <row r="17">
          <cell r="B17" t="str">
            <v>ILIs</v>
          </cell>
          <cell r="C17" t="str">
            <v>Band A/B</v>
          </cell>
          <cell r="D17" t="str">
            <v>Band B/C</v>
          </cell>
          <cell r="E17" t="str">
            <v>Band C/D</v>
          </cell>
          <cell r="F17" t="str">
            <v>This system</v>
          </cell>
        </row>
        <row r="18">
          <cell r="B18">
            <v>0.7</v>
          </cell>
          <cell r="C18">
            <v>2</v>
          </cell>
          <cell r="D18">
            <v>4</v>
          </cell>
          <cell r="E18">
            <v>8</v>
          </cell>
          <cell r="F18">
            <v>2.2501375451384131</v>
          </cell>
        </row>
        <row r="19">
          <cell r="B19">
            <v>1</v>
          </cell>
          <cell r="C19">
            <v>2</v>
          </cell>
          <cell r="D19">
            <v>4</v>
          </cell>
          <cell r="E19">
            <v>8</v>
          </cell>
          <cell r="F19">
            <v>2.2501375451384131</v>
          </cell>
        </row>
        <row r="20">
          <cell r="B20">
            <v>1</v>
          </cell>
          <cell r="C20">
            <v>2</v>
          </cell>
          <cell r="D20">
            <v>4</v>
          </cell>
          <cell r="E20">
            <v>8</v>
          </cell>
          <cell r="F20">
            <v>2.2501375451384131</v>
          </cell>
        </row>
        <row r="21">
          <cell r="B21">
            <v>1</v>
          </cell>
          <cell r="C21">
            <v>2</v>
          </cell>
          <cell r="D21">
            <v>4</v>
          </cell>
          <cell r="E21">
            <v>8</v>
          </cell>
          <cell r="F21">
            <v>2.2501375451384131</v>
          </cell>
        </row>
        <row r="22">
          <cell r="B22">
            <v>1</v>
          </cell>
          <cell r="C22">
            <v>2</v>
          </cell>
          <cell r="D22">
            <v>4</v>
          </cell>
          <cell r="E22">
            <v>8</v>
          </cell>
          <cell r="F22">
            <v>2.2501375451384131</v>
          </cell>
        </row>
        <row r="23">
          <cell r="B23">
            <v>1.1000000000000001</v>
          </cell>
          <cell r="C23">
            <v>2</v>
          </cell>
          <cell r="D23">
            <v>4</v>
          </cell>
          <cell r="E23">
            <v>8</v>
          </cell>
          <cell r="F23">
            <v>2.2501375451384131</v>
          </cell>
        </row>
        <row r="24">
          <cell r="B24">
            <v>1.2</v>
          </cell>
          <cell r="C24">
            <v>2</v>
          </cell>
          <cell r="D24">
            <v>4</v>
          </cell>
          <cell r="E24">
            <v>8</v>
          </cell>
          <cell r="F24">
            <v>2.2501375451384131</v>
          </cell>
        </row>
        <row r="25">
          <cell r="B25">
            <v>1.2</v>
          </cell>
          <cell r="C25">
            <v>2</v>
          </cell>
          <cell r="D25">
            <v>4</v>
          </cell>
          <cell r="E25">
            <v>8</v>
          </cell>
          <cell r="F25">
            <v>2.2501375451384131</v>
          </cell>
        </row>
        <row r="26">
          <cell r="B26">
            <v>1.2</v>
          </cell>
          <cell r="C26">
            <v>2</v>
          </cell>
          <cell r="D26">
            <v>4</v>
          </cell>
          <cell r="E26">
            <v>8</v>
          </cell>
          <cell r="F26">
            <v>2.2501375451384131</v>
          </cell>
        </row>
        <row r="27">
          <cell r="B27">
            <v>1.35</v>
          </cell>
          <cell r="C27">
            <v>2</v>
          </cell>
          <cell r="D27">
            <v>4</v>
          </cell>
          <cell r="E27">
            <v>8</v>
          </cell>
          <cell r="F27">
            <v>2.2501375451384131</v>
          </cell>
        </row>
        <row r="28">
          <cell r="B28">
            <v>1.4</v>
          </cell>
          <cell r="C28">
            <v>2</v>
          </cell>
          <cell r="D28">
            <v>4</v>
          </cell>
          <cell r="E28">
            <v>8</v>
          </cell>
          <cell r="F28">
            <v>2.2501375451384131</v>
          </cell>
        </row>
        <row r="29">
          <cell r="B29">
            <v>1.5</v>
          </cell>
          <cell r="C29">
            <v>2</v>
          </cell>
          <cell r="D29">
            <v>4</v>
          </cell>
          <cell r="E29">
            <v>8</v>
          </cell>
          <cell r="F29">
            <v>2.2501375451384131</v>
          </cell>
        </row>
        <row r="30">
          <cell r="B30">
            <v>1.5</v>
          </cell>
          <cell r="C30">
            <v>2</v>
          </cell>
          <cell r="D30">
            <v>4</v>
          </cell>
          <cell r="E30">
            <v>8</v>
          </cell>
          <cell r="F30">
            <v>2.2501375451384131</v>
          </cell>
        </row>
        <row r="31">
          <cell r="B31">
            <v>1.6</v>
          </cell>
          <cell r="C31">
            <v>2</v>
          </cell>
          <cell r="D31">
            <v>4</v>
          </cell>
          <cell r="E31">
            <v>8</v>
          </cell>
          <cell r="F31">
            <v>2.2501375451384131</v>
          </cell>
        </row>
        <row r="32">
          <cell r="B32">
            <v>1.6</v>
          </cell>
          <cell r="C32">
            <v>2</v>
          </cell>
          <cell r="D32">
            <v>4</v>
          </cell>
          <cell r="E32">
            <v>8</v>
          </cell>
          <cell r="F32">
            <v>2.2501375451384131</v>
          </cell>
        </row>
        <row r="33">
          <cell r="B33">
            <v>1.6</v>
          </cell>
          <cell r="C33">
            <v>2</v>
          </cell>
          <cell r="D33">
            <v>4</v>
          </cell>
          <cell r="E33">
            <v>8</v>
          </cell>
          <cell r="F33">
            <v>2.2501375451384131</v>
          </cell>
        </row>
        <row r="34">
          <cell r="B34">
            <v>1.7</v>
          </cell>
          <cell r="C34">
            <v>2</v>
          </cell>
          <cell r="D34">
            <v>4</v>
          </cell>
          <cell r="E34">
            <v>8</v>
          </cell>
          <cell r="F34">
            <v>2.2501375451384131</v>
          </cell>
        </row>
        <row r="35">
          <cell r="B35">
            <v>1.8</v>
          </cell>
          <cell r="C35">
            <v>2</v>
          </cell>
          <cell r="D35">
            <v>4</v>
          </cell>
          <cell r="E35">
            <v>8</v>
          </cell>
          <cell r="F35">
            <v>2.2501375451384131</v>
          </cell>
        </row>
        <row r="36">
          <cell r="B36">
            <v>2.5</v>
          </cell>
          <cell r="C36">
            <v>2</v>
          </cell>
          <cell r="D36">
            <v>4</v>
          </cell>
          <cell r="E36">
            <v>8</v>
          </cell>
          <cell r="F36">
            <v>2.2501375451384131</v>
          </cell>
        </row>
        <row r="37">
          <cell r="B37">
            <v>3.6</v>
          </cell>
          <cell r="C37">
            <v>2</v>
          </cell>
          <cell r="D37">
            <v>4</v>
          </cell>
          <cell r="E37">
            <v>8</v>
          </cell>
          <cell r="F37">
            <v>2.2501375451384131</v>
          </cell>
        </row>
        <row r="38">
          <cell r="B38">
            <v>3.6</v>
          </cell>
          <cell r="C38">
            <v>2</v>
          </cell>
          <cell r="D38">
            <v>4</v>
          </cell>
          <cell r="E38">
            <v>8</v>
          </cell>
          <cell r="F38">
            <v>2.2501375451384131</v>
          </cell>
        </row>
        <row r="39">
          <cell r="B39">
            <v>5.8</v>
          </cell>
          <cell r="C39">
            <v>2</v>
          </cell>
          <cell r="D39">
            <v>4</v>
          </cell>
          <cell r="E39">
            <v>8</v>
          </cell>
          <cell r="F39">
            <v>2.2501375451384131</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Vaughn Crowther" id="{204B030A-F819-4BD7-8BFD-31BFB6C3CB38}" userId="S::vaughn.crowther@utilitynz.co.nz::1969484c-0288-4d6c-a18e-91faece85e5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ughn Crowther" refreshedDate="45504.650721990743" createdVersion="8" refreshedVersion="8" minRefreshableVersion="3" recordCount="174" xr:uid="{D6EC0D11-8064-4533-B76F-907F3E2FE254}">
  <cacheSource type="worksheet">
    <worksheetSource name="Table1"/>
  </cacheSource>
  <cacheFields count="8">
    <cacheField name="Scheme" numFmtId="0">
      <sharedItems count="8">
        <s v="Arrowtown"/>
        <s v="Arthur's Point"/>
        <s v="Glenorchy"/>
        <s v="Hawea"/>
        <s v="Lake Hayes"/>
        <s v="Luggate"/>
        <s v="Queenstown"/>
        <s v="Wanaka"/>
      </sharedItems>
    </cacheField>
    <cacheField name="Customer Category" numFmtId="0">
      <sharedItems/>
    </cacheField>
    <cacheField name="Sub-Category" numFmtId="0">
      <sharedItems count="12">
        <s v="Commercial"/>
        <s v="Commercial Mixed use"/>
        <s v="Accomodation Mixed use"/>
        <s v="Vacant"/>
        <s v="Residential"/>
        <s v="Rural"/>
        <s v="Rural Dwelling"/>
        <s v="Residental plus flat"/>
        <s v="Accomodation"/>
        <s v="Hydro/Utility"/>
        <s v="Rural Dwelling plus Flat"/>
        <s v="Commercial - Mixed Use"/>
      </sharedItems>
      <fieldGroup par="7"/>
    </cacheField>
    <cacheField name="WaterConns" numFmtId="0">
      <sharedItems containsSemiMixedTypes="0" containsString="0" containsNumber="1" containsInteger="1" minValue="1" maxValue="5358"/>
    </cacheField>
    <cacheField name="WaterSUIPs" numFmtId="0">
      <sharedItems containsSemiMixedTypes="0" containsString="0" containsNumber="1" containsInteger="1" minValue="1" maxValue="5764"/>
    </cacheField>
    <cacheField name="WaterDemUnits" numFmtId="0">
      <sharedItems containsSemiMixedTypes="0" containsString="0" containsNumber="1" containsInteger="1" minValue="0" maxValue="5764"/>
    </cacheField>
    <cacheField name="Difference (Absolute)" numFmtId="0">
      <sharedItems containsSemiMixedTypes="0" containsString="0" containsNumber="1" containsInteger="1" minValue="0" maxValue="1218"/>
    </cacheField>
    <cacheField name="Sub-Category2" numFmtId="0" databaseField="0">
      <fieldGroup base="2">
        <discretePr count="12">
          <x v="6"/>
          <x v="6"/>
          <x v="5"/>
          <x v="0"/>
          <x v="1"/>
          <x v="4"/>
          <x v="4"/>
          <x v="2"/>
          <x v="5"/>
          <x v="3"/>
          <x v="4"/>
          <x v="6"/>
        </discretePr>
        <groupItems count="7">
          <s v="Vacant"/>
          <s v="Residential"/>
          <s v="Residental plus flat"/>
          <s v="Hydro/Utility"/>
          <s v="Group1"/>
          <s v="Group2"/>
          <s v="Group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
  <r>
    <x v="0"/>
    <s v="Commercial"/>
    <x v="0"/>
    <n v="1"/>
    <n v="1"/>
    <n v="1"/>
    <n v="0"/>
  </r>
  <r>
    <x v="0"/>
    <s v="Commercial"/>
    <x v="0"/>
    <n v="25"/>
    <n v="47"/>
    <n v="47"/>
    <n v="0"/>
  </r>
  <r>
    <x v="0"/>
    <s v="Commercial"/>
    <x v="1"/>
    <n v="14"/>
    <n v="14"/>
    <n v="14"/>
    <n v="0"/>
  </r>
  <r>
    <x v="0"/>
    <s v="Commercial"/>
    <x v="0"/>
    <n v="1"/>
    <n v="2"/>
    <n v="2"/>
    <n v="0"/>
  </r>
  <r>
    <x v="0"/>
    <s v="Accomodation"/>
    <x v="2"/>
    <n v="11"/>
    <n v="24"/>
    <n v="24"/>
    <n v="0"/>
  </r>
  <r>
    <x v="0"/>
    <s v="Vacant"/>
    <x v="3"/>
    <n v="46"/>
    <n v="46"/>
    <n v="46"/>
    <n v="0"/>
  </r>
  <r>
    <x v="0"/>
    <s v="Residential"/>
    <x v="4"/>
    <n v="5"/>
    <n v="5"/>
    <n v="5"/>
    <n v="0"/>
  </r>
  <r>
    <x v="0"/>
    <s v="Rural"/>
    <x v="5"/>
    <n v="2"/>
    <n v="2"/>
    <n v="2"/>
    <n v="0"/>
  </r>
  <r>
    <x v="0"/>
    <s v="Accomodation"/>
    <x v="2"/>
    <n v="1"/>
    <n v="1"/>
    <n v="1"/>
    <n v="0"/>
  </r>
  <r>
    <x v="0"/>
    <s v="Commercial"/>
    <x v="0"/>
    <n v="2"/>
    <n v="2"/>
    <n v="2"/>
    <n v="0"/>
  </r>
  <r>
    <x v="0"/>
    <s v="Accomodation"/>
    <x v="2"/>
    <n v="2"/>
    <n v="4"/>
    <n v="4"/>
    <n v="0"/>
  </r>
  <r>
    <x v="0"/>
    <s v="Commercial"/>
    <x v="0"/>
    <n v="4"/>
    <n v="4"/>
    <n v="4"/>
    <n v="0"/>
  </r>
  <r>
    <x v="0"/>
    <s v="Accomodation"/>
    <x v="2"/>
    <n v="1"/>
    <n v="1"/>
    <n v="1"/>
    <n v="0"/>
  </r>
  <r>
    <x v="0"/>
    <s v="Accomodation"/>
    <x v="2"/>
    <n v="92"/>
    <n v="92"/>
    <n v="92"/>
    <n v="0"/>
  </r>
  <r>
    <x v="0"/>
    <s v="Commercial"/>
    <x v="0"/>
    <n v="14"/>
    <n v="65"/>
    <n v="65"/>
    <n v="0"/>
  </r>
  <r>
    <x v="0"/>
    <s v="Rural"/>
    <x v="6"/>
    <n v="1"/>
    <n v="1"/>
    <n v="1"/>
    <n v="0"/>
  </r>
  <r>
    <x v="0"/>
    <s v="Residential"/>
    <x v="7"/>
    <n v="1166"/>
    <n v="1278"/>
    <n v="1278"/>
    <n v="0"/>
  </r>
  <r>
    <x v="0"/>
    <s v="Rural"/>
    <x v="6"/>
    <n v="13"/>
    <n v="89"/>
    <n v="89"/>
    <n v="0"/>
  </r>
  <r>
    <x v="0"/>
    <s v="Accomodation"/>
    <x v="8"/>
    <n v="19"/>
    <n v="28"/>
    <n v="35"/>
    <n v="7"/>
  </r>
  <r>
    <x v="0"/>
    <s v="Accomodation"/>
    <x v="8"/>
    <n v="1"/>
    <n v="2"/>
    <n v="1"/>
    <n v="1"/>
  </r>
  <r>
    <x v="0"/>
    <s v="Residential"/>
    <x v="7"/>
    <n v="38"/>
    <n v="75"/>
    <n v="75"/>
    <n v="0"/>
  </r>
  <r>
    <x v="1"/>
    <s v="Residential"/>
    <x v="7"/>
    <n v="2"/>
    <n v="2"/>
    <n v="2"/>
    <n v="0"/>
  </r>
  <r>
    <x v="1"/>
    <s v="Rural"/>
    <x v="5"/>
    <n v="1"/>
    <n v="1"/>
    <n v="1"/>
    <n v="0"/>
  </r>
  <r>
    <x v="1"/>
    <s v="Commercial"/>
    <x v="1"/>
    <n v="1"/>
    <n v="1"/>
    <n v="1"/>
    <n v="0"/>
  </r>
  <r>
    <x v="1"/>
    <s v="Vacant"/>
    <x v="3"/>
    <n v="1"/>
    <n v="1"/>
    <n v="1"/>
    <n v="0"/>
  </r>
  <r>
    <x v="1"/>
    <s v="Residential"/>
    <x v="7"/>
    <n v="8"/>
    <n v="16"/>
    <n v="16"/>
    <n v="0"/>
  </r>
  <r>
    <x v="1"/>
    <s v="Residential"/>
    <x v="7"/>
    <n v="1"/>
    <n v="2"/>
    <n v="2"/>
    <n v="0"/>
  </r>
  <r>
    <x v="1"/>
    <s v="Vacant"/>
    <x v="3"/>
    <n v="30"/>
    <n v="30"/>
    <n v="30"/>
    <n v="0"/>
  </r>
  <r>
    <x v="1"/>
    <s v="Commercial"/>
    <x v="0"/>
    <n v="5"/>
    <n v="9"/>
    <n v="9"/>
    <n v="0"/>
  </r>
  <r>
    <x v="1"/>
    <s v="Rural"/>
    <x v="6"/>
    <n v="2"/>
    <n v="2"/>
    <n v="2"/>
    <n v="0"/>
  </r>
  <r>
    <x v="1"/>
    <s v="Accomodation"/>
    <x v="2"/>
    <n v="33"/>
    <n v="40"/>
    <n v="40"/>
    <n v="0"/>
  </r>
  <r>
    <x v="1"/>
    <s v="Vacant"/>
    <x v="3"/>
    <n v="1"/>
    <n v="1"/>
    <n v="1"/>
    <n v="0"/>
  </r>
  <r>
    <x v="1"/>
    <s v="Residential"/>
    <x v="7"/>
    <n v="12"/>
    <n v="26"/>
    <n v="26"/>
    <n v="0"/>
  </r>
  <r>
    <x v="1"/>
    <s v="Accomodation"/>
    <x v="8"/>
    <n v="16"/>
    <n v="41"/>
    <n v="52"/>
    <n v="11"/>
  </r>
  <r>
    <x v="1"/>
    <s v="Residential"/>
    <x v="7"/>
    <n v="304"/>
    <n v="376"/>
    <n v="376"/>
    <n v="0"/>
  </r>
  <r>
    <x v="2"/>
    <s v="Accomodation"/>
    <x v="8"/>
    <n v="9"/>
    <n v="10"/>
    <n v="68"/>
    <n v="58"/>
  </r>
  <r>
    <x v="2"/>
    <s v="Accomodation"/>
    <x v="2"/>
    <n v="16"/>
    <n v="16"/>
    <n v="16"/>
    <n v="0"/>
  </r>
  <r>
    <x v="2"/>
    <s v="Commercial"/>
    <x v="0"/>
    <n v="10"/>
    <n v="11"/>
    <n v="11"/>
    <n v="0"/>
  </r>
  <r>
    <x v="2"/>
    <s v="Residential"/>
    <x v="7"/>
    <n v="1"/>
    <n v="2"/>
    <n v="2"/>
    <n v="0"/>
  </r>
  <r>
    <x v="2"/>
    <s v="Accomodation"/>
    <x v="2"/>
    <n v="1"/>
    <n v="2"/>
    <n v="2"/>
    <n v="0"/>
  </r>
  <r>
    <x v="2"/>
    <s v="Vacant"/>
    <x v="3"/>
    <n v="121"/>
    <n v="121"/>
    <n v="121"/>
    <n v="0"/>
  </r>
  <r>
    <x v="2"/>
    <s v="Residential"/>
    <x v="7"/>
    <n v="174"/>
    <n v="183"/>
    <n v="183"/>
    <n v="0"/>
  </r>
  <r>
    <x v="2"/>
    <s v="Residential"/>
    <x v="7"/>
    <n v="4"/>
    <n v="8"/>
    <n v="8"/>
    <n v="0"/>
  </r>
  <r>
    <x v="2"/>
    <s v="Residential"/>
    <x v="4"/>
    <n v="1"/>
    <n v="2"/>
    <n v="2"/>
    <n v="0"/>
  </r>
  <r>
    <x v="3"/>
    <s v="Accomodation"/>
    <x v="8"/>
    <n v="4"/>
    <n v="4"/>
    <n v="100"/>
    <n v="96"/>
  </r>
  <r>
    <x v="3"/>
    <s v="Rural"/>
    <x v="6"/>
    <n v="21"/>
    <n v="21"/>
    <n v="21"/>
    <n v="0"/>
  </r>
  <r>
    <x v="3"/>
    <s v="Accomodation"/>
    <x v="2"/>
    <n v="2"/>
    <n v="4"/>
    <n v="4"/>
    <n v="0"/>
  </r>
  <r>
    <x v="3"/>
    <s v="Accomodation"/>
    <x v="2"/>
    <n v="32"/>
    <n v="33"/>
    <n v="33"/>
    <n v="0"/>
  </r>
  <r>
    <x v="3"/>
    <s v="Commercial"/>
    <x v="1"/>
    <n v="5"/>
    <n v="5"/>
    <n v="5"/>
    <n v="0"/>
  </r>
  <r>
    <x v="3"/>
    <s v="Residential"/>
    <x v="7"/>
    <n v="927"/>
    <n v="945"/>
    <n v="945"/>
    <n v="0"/>
  </r>
  <r>
    <x v="3"/>
    <s v="Residential"/>
    <x v="7"/>
    <n v="30"/>
    <n v="60"/>
    <n v="60"/>
    <n v="0"/>
  </r>
  <r>
    <x v="3"/>
    <s v="Residential"/>
    <x v="4"/>
    <n v="1"/>
    <n v="1"/>
    <n v="1"/>
    <n v="0"/>
  </r>
  <r>
    <x v="3"/>
    <s v="Hydro/Utility"/>
    <x v="9"/>
    <n v="1"/>
    <n v="1"/>
    <n v="1"/>
    <n v="0"/>
  </r>
  <r>
    <x v="3"/>
    <s v="Commercial"/>
    <x v="0"/>
    <n v="1"/>
    <n v="1"/>
    <n v="1"/>
    <n v="0"/>
  </r>
  <r>
    <x v="3"/>
    <s v="Rural"/>
    <x v="5"/>
    <n v="3"/>
    <n v="4"/>
    <n v="4"/>
    <n v="0"/>
  </r>
  <r>
    <x v="3"/>
    <s v="Commercial"/>
    <x v="0"/>
    <n v="3"/>
    <n v="5"/>
    <n v="5"/>
    <n v="0"/>
  </r>
  <r>
    <x v="3"/>
    <s v="Accomodation"/>
    <x v="2"/>
    <n v="2"/>
    <n v="2"/>
    <n v="2"/>
    <n v="0"/>
  </r>
  <r>
    <x v="3"/>
    <s v="Vacant"/>
    <x v="3"/>
    <n v="288"/>
    <n v="288"/>
    <n v="288"/>
    <n v="0"/>
  </r>
  <r>
    <x v="3"/>
    <s v="Residential"/>
    <x v="7"/>
    <n v="5"/>
    <n v="5"/>
    <n v="5"/>
    <n v="0"/>
  </r>
  <r>
    <x v="3"/>
    <s v="Rural"/>
    <x v="10"/>
    <n v="1"/>
    <n v="2"/>
    <n v="2"/>
    <n v="0"/>
  </r>
  <r>
    <x v="4"/>
    <s v="Commercial"/>
    <x v="11"/>
    <n v="3"/>
    <n v="3"/>
    <n v="3"/>
    <n v="0"/>
  </r>
  <r>
    <x v="4"/>
    <s v="Accomodation"/>
    <x v="2"/>
    <n v="1"/>
    <n v="1"/>
    <n v="1"/>
    <n v="0"/>
  </r>
  <r>
    <x v="4"/>
    <s v="Rural"/>
    <x v="6"/>
    <n v="4"/>
    <n v="5"/>
    <n v="5"/>
    <n v="0"/>
  </r>
  <r>
    <x v="4"/>
    <s v="Rural"/>
    <x v="5"/>
    <n v="12"/>
    <n v="14"/>
    <n v="14"/>
    <n v="0"/>
  </r>
  <r>
    <x v="4"/>
    <s v="Residential"/>
    <x v="7"/>
    <n v="1"/>
    <n v="1"/>
    <n v="1"/>
    <n v="0"/>
  </r>
  <r>
    <x v="4"/>
    <s v="Residential"/>
    <x v="7"/>
    <n v="1"/>
    <n v="2"/>
    <n v="2"/>
    <n v="0"/>
  </r>
  <r>
    <x v="4"/>
    <s v="Rural"/>
    <x v="10"/>
    <n v="6"/>
    <n v="12"/>
    <n v="12"/>
    <n v="0"/>
  </r>
  <r>
    <x v="4"/>
    <s v="Accomodation"/>
    <x v="2"/>
    <n v="1"/>
    <n v="2"/>
    <n v="2"/>
    <n v="0"/>
  </r>
  <r>
    <x v="4"/>
    <s v="Vacant"/>
    <x v="3"/>
    <n v="3"/>
    <n v="3"/>
    <n v="3"/>
    <n v="0"/>
  </r>
  <r>
    <x v="4"/>
    <s v="Rural"/>
    <x v="6"/>
    <n v="1"/>
    <n v="1"/>
    <n v="1"/>
    <n v="0"/>
  </r>
  <r>
    <x v="4"/>
    <s v="Rural"/>
    <x v="5"/>
    <n v="17"/>
    <n v="18"/>
    <n v="18"/>
    <n v="0"/>
  </r>
  <r>
    <x v="4"/>
    <s v="Commercial"/>
    <x v="0"/>
    <n v="6"/>
    <n v="7"/>
    <n v="7"/>
    <n v="0"/>
  </r>
  <r>
    <x v="4"/>
    <s v="Residential"/>
    <x v="7"/>
    <n v="1"/>
    <n v="2"/>
    <n v="2"/>
    <n v="0"/>
  </r>
  <r>
    <x v="4"/>
    <s v="Commercial"/>
    <x v="0"/>
    <n v="3"/>
    <n v="6"/>
    <n v="6"/>
    <n v="0"/>
  </r>
  <r>
    <x v="4"/>
    <s v="Vacant"/>
    <x v="3"/>
    <n v="164"/>
    <n v="164"/>
    <n v="164"/>
    <n v="0"/>
  </r>
  <r>
    <x v="4"/>
    <s v="Residential"/>
    <x v="7"/>
    <n v="1"/>
    <n v="1"/>
    <n v="1"/>
    <n v="0"/>
  </r>
  <r>
    <x v="4"/>
    <s v="Accomodation"/>
    <x v="2"/>
    <n v="37"/>
    <n v="74"/>
    <n v="74"/>
    <n v="0"/>
  </r>
  <r>
    <x v="4"/>
    <s v="Residential"/>
    <x v="4"/>
    <n v="2"/>
    <n v="2"/>
    <n v="2"/>
    <n v="0"/>
  </r>
  <r>
    <x v="4"/>
    <s v="Accomodation"/>
    <x v="8"/>
    <n v="12"/>
    <n v="13"/>
    <n v="1"/>
    <n v="12"/>
  </r>
  <r>
    <x v="4"/>
    <s v="Rural"/>
    <x v="6"/>
    <n v="229"/>
    <n v="353"/>
    <n v="353"/>
    <n v="0"/>
  </r>
  <r>
    <x v="4"/>
    <s v="Accomodation"/>
    <x v="2"/>
    <n v="29"/>
    <n v="38"/>
    <n v="38"/>
    <n v="0"/>
  </r>
  <r>
    <x v="4"/>
    <s v="Accomodation"/>
    <x v="2"/>
    <n v="47"/>
    <n v="48"/>
    <n v="48"/>
    <n v="0"/>
  </r>
  <r>
    <x v="4"/>
    <s v="Commercial"/>
    <x v="1"/>
    <n v="9"/>
    <n v="10"/>
    <n v="10"/>
    <n v="0"/>
  </r>
  <r>
    <x v="4"/>
    <s v="Residential"/>
    <x v="7"/>
    <n v="1314"/>
    <n v="1339"/>
    <n v="1339"/>
    <n v="0"/>
  </r>
  <r>
    <x v="4"/>
    <s v="Accomodation"/>
    <x v="2"/>
    <n v="4"/>
    <n v="8"/>
    <n v="8"/>
    <n v="0"/>
  </r>
  <r>
    <x v="4"/>
    <s v="Residential"/>
    <x v="7"/>
    <n v="309"/>
    <n v="622"/>
    <n v="622"/>
    <n v="0"/>
  </r>
  <r>
    <x v="5"/>
    <s v="Accomodation"/>
    <x v="2"/>
    <n v="1"/>
    <n v="1"/>
    <n v="1"/>
    <n v="0"/>
  </r>
  <r>
    <x v="5"/>
    <s v="Residential"/>
    <x v="7"/>
    <n v="166"/>
    <n v="167"/>
    <n v="167"/>
    <n v="0"/>
  </r>
  <r>
    <x v="5"/>
    <s v="Vacant"/>
    <x v="3"/>
    <n v="45"/>
    <n v="45"/>
    <n v="45"/>
    <n v="0"/>
  </r>
  <r>
    <x v="5"/>
    <s v="Rural"/>
    <x v="6"/>
    <n v="69"/>
    <n v="70"/>
    <n v="70"/>
    <n v="0"/>
  </r>
  <r>
    <x v="5"/>
    <s v="Vacant"/>
    <x v="3"/>
    <n v="1"/>
    <n v="1"/>
    <n v="1"/>
    <n v="0"/>
  </r>
  <r>
    <x v="5"/>
    <s v="Commercial"/>
    <x v="0"/>
    <n v="1"/>
    <n v="1"/>
    <n v="1"/>
    <n v="0"/>
  </r>
  <r>
    <x v="5"/>
    <s v="Rural"/>
    <x v="5"/>
    <n v="1"/>
    <n v="1"/>
    <n v="1"/>
    <n v="0"/>
  </r>
  <r>
    <x v="5"/>
    <s v="Commercial"/>
    <x v="0"/>
    <n v="4"/>
    <n v="6"/>
    <n v="6"/>
    <n v="0"/>
  </r>
  <r>
    <x v="5"/>
    <s v="Accomodation"/>
    <x v="2"/>
    <n v="1"/>
    <n v="1"/>
    <n v="1"/>
    <n v="0"/>
  </r>
  <r>
    <x v="5"/>
    <s v="Rural"/>
    <x v="10"/>
    <n v="3"/>
    <n v="6"/>
    <n v="6"/>
    <n v="0"/>
  </r>
  <r>
    <x v="5"/>
    <s v="Residential"/>
    <x v="7"/>
    <n v="3"/>
    <n v="6"/>
    <n v="6"/>
    <n v="0"/>
  </r>
  <r>
    <x v="6"/>
    <s v="Rural"/>
    <x v="10"/>
    <n v="1"/>
    <n v="2"/>
    <n v="2"/>
    <n v="0"/>
  </r>
  <r>
    <x v="6"/>
    <s v="Accomodation"/>
    <x v="2"/>
    <n v="82"/>
    <n v="167"/>
    <n v="167"/>
    <n v="0"/>
  </r>
  <r>
    <x v="6"/>
    <s v="Accomodation"/>
    <x v="2"/>
    <n v="1"/>
    <n v="2"/>
    <n v="2"/>
    <n v="0"/>
  </r>
  <r>
    <x v="6"/>
    <s v="Residential"/>
    <x v="7"/>
    <n v="698"/>
    <n v="1472"/>
    <n v="1472"/>
    <n v="0"/>
  </r>
  <r>
    <x v="6"/>
    <s v="Rural"/>
    <x v="10"/>
    <n v="5"/>
    <n v="10"/>
    <n v="10"/>
    <n v="0"/>
  </r>
  <r>
    <x v="6"/>
    <s v="Vacant"/>
    <x v="3"/>
    <n v="1121"/>
    <n v="1127"/>
    <n v="1127"/>
    <n v="0"/>
  </r>
  <r>
    <x v="6"/>
    <s v="Vacant"/>
    <x v="3"/>
    <n v="2"/>
    <n v="2"/>
    <n v="2"/>
    <n v="0"/>
  </r>
  <r>
    <x v="6"/>
    <s v="Residential"/>
    <x v="7"/>
    <n v="1"/>
    <n v="1"/>
    <n v="1"/>
    <n v="0"/>
  </r>
  <r>
    <x v="6"/>
    <s v="Commercial"/>
    <x v="11"/>
    <n v="1"/>
    <n v="1"/>
    <n v="1"/>
    <n v="0"/>
  </r>
  <r>
    <x v="6"/>
    <s v="Accomodation"/>
    <x v="2"/>
    <n v="549"/>
    <n v="692"/>
    <n v="692"/>
    <n v="0"/>
  </r>
  <r>
    <x v="6"/>
    <s v="Residential"/>
    <x v="7"/>
    <n v="1"/>
    <n v="1"/>
    <n v="1"/>
    <n v="0"/>
  </r>
  <r>
    <x v="6"/>
    <s v="Rural"/>
    <x v="5"/>
    <n v="3"/>
    <n v="3"/>
    <n v="3"/>
    <n v="0"/>
  </r>
  <r>
    <x v="6"/>
    <s v="Residential"/>
    <x v="4"/>
    <n v="11"/>
    <n v="18"/>
    <n v="18"/>
    <n v="0"/>
  </r>
  <r>
    <x v="6"/>
    <s v="Accomodation"/>
    <x v="2"/>
    <n v="2"/>
    <n v="2"/>
    <n v="2"/>
    <n v="0"/>
  </r>
  <r>
    <x v="6"/>
    <s v="Residential"/>
    <x v="7"/>
    <n v="3300"/>
    <n v="5322"/>
    <n v="5322"/>
    <n v="0"/>
  </r>
  <r>
    <x v="6"/>
    <s v="Commercial"/>
    <x v="0"/>
    <n v="1"/>
    <n v="1"/>
    <n v="1"/>
    <n v="0"/>
  </r>
  <r>
    <x v="6"/>
    <s v="Commercial"/>
    <x v="0"/>
    <n v="3"/>
    <n v="3"/>
    <n v="3"/>
    <n v="0"/>
  </r>
  <r>
    <x v="6"/>
    <s v="Accomodation"/>
    <x v="2"/>
    <n v="1"/>
    <n v="2"/>
    <n v="2"/>
    <n v="0"/>
  </r>
  <r>
    <x v="6"/>
    <s v="Rural"/>
    <x v="5"/>
    <n v="4"/>
    <n v="4"/>
    <n v="4"/>
    <n v="0"/>
  </r>
  <r>
    <x v="6"/>
    <s v="Commercial"/>
    <x v="0"/>
    <n v="1"/>
    <n v="1"/>
    <n v="1"/>
    <n v="0"/>
  </r>
  <r>
    <x v="6"/>
    <s v="Accomodation"/>
    <x v="2"/>
    <n v="1"/>
    <n v="1"/>
    <n v="1"/>
    <n v="0"/>
  </r>
  <r>
    <x v="6"/>
    <s v="Commercial"/>
    <x v="0"/>
    <n v="344"/>
    <n v="866"/>
    <n v="866"/>
    <n v="0"/>
  </r>
  <r>
    <x v="6"/>
    <s v="Commercial"/>
    <x v="0"/>
    <n v="3"/>
    <n v="4"/>
    <n v="4"/>
    <n v="0"/>
  </r>
  <r>
    <x v="6"/>
    <s v="Residential"/>
    <x v="7"/>
    <n v="2"/>
    <n v="4"/>
    <n v="4"/>
    <n v="0"/>
  </r>
  <r>
    <x v="6"/>
    <s v="Residential"/>
    <x v="4"/>
    <n v="1"/>
    <n v="1"/>
    <n v="1"/>
    <n v="0"/>
  </r>
  <r>
    <x v="6"/>
    <s v="Accomodation"/>
    <x v="2"/>
    <n v="1"/>
    <n v="1"/>
    <n v="1"/>
    <n v="0"/>
  </r>
  <r>
    <x v="6"/>
    <s v="Commercial"/>
    <x v="0"/>
    <n v="2"/>
    <n v="2"/>
    <n v="2"/>
    <n v="0"/>
  </r>
  <r>
    <x v="6"/>
    <s v="Rural"/>
    <x v="6"/>
    <n v="28"/>
    <n v="29"/>
    <n v="29"/>
    <n v="0"/>
  </r>
  <r>
    <x v="6"/>
    <s v="Commercial"/>
    <x v="1"/>
    <n v="24"/>
    <n v="26"/>
    <n v="26"/>
    <n v="0"/>
  </r>
  <r>
    <x v="6"/>
    <s v="Commercial"/>
    <x v="0"/>
    <n v="12"/>
    <n v="12"/>
    <n v="12"/>
    <n v="0"/>
  </r>
  <r>
    <x v="6"/>
    <s v="Commercial"/>
    <x v="0"/>
    <n v="3"/>
    <n v="3"/>
    <n v="3"/>
    <n v="0"/>
  </r>
  <r>
    <x v="6"/>
    <s v="Residential"/>
    <x v="7"/>
    <n v="1"/>
    <n v="2"/>
    <n v="2"/>
    <n v="0"/>
  </r>
  <r>
    <x v="6"/>
    <s v="Residential"/>
    <x v="7"/>
    <n v="3"/>
    <n v="3"/>
    <n v="3"/>
    <n v="0"/>
  </r>
  <r>
    <x v="6"/>
    <s v="Commercial"/>
    <x v="0"/>
    <n v="110"/>
    <n v="452"/>
    <n v="452"/>
    <n v="0"/>
  </r>
  <r>
    <x v="6"/>
    <s v="Rural"/>
    <x v="6"/>
    <n v="4"/>
    <n v="5"/>
    <n v="5"/>
    <n v="0"/>
  </r>
  <r>
    <x v="6"/>
    <s v="Accomodation"/>
    <x v="2"/>
    <n v="3"/>
    <n v="3"/>
    <n v="3"/>
    <n v="0"/>
  </r>
  <r>
    <x v="6"/>
    <s v="Commercial"/>
    <x v="11"/>
    <n v="2"/>
    <n v="4"/>
    <n v="4"/>
    <n v="0"/>
  </r>
  <r>
    <x v="6"/>
    <s v="Accomodation"/>
    <x v="8"/>
    <n v="351"/>
    <n v="1756"/>
    <n v="2974"/>
    <n v="1218"/>
  </r>
  <r>
    <x v="6"/>
    <s v="Accomodation"/>
    <x v="8"/>
    <n v="18"/>
    <n v="58"/>
    <n v="349"/>
    <n v="291"/>
  </r>
  <r>
    <x v="7"/>
    <s v="Accomodation"/>
    <x v="8"/>
    <n v="1"/>
    <n v="1"/>
    <n v="0"/>
    <n v="1"/>
  </r>
  <r>
    <x v="7"/>
    <s v="Rural"/>
    <x v="6"/>
    <n v="3"/>
    <n v="3"/>
    <n v="3"/>
    <n v="0"/>
  </r>
  <r>
    <x v="7"/>
    <s v="Rural"/>
    <x v="5"/>
    <n v="4"/>
    <n v="4"/>
    <n v="4"/>
    <n v="0"/>
  </r>
  <r>
    <x v="7"/>
    <s v="Commercial"/>
    <x v="0"/>
    <n v="2"/>
    <n v="2"/>
    <n v="2"/>
    <n v="0"/>
  </r>
  <r>
    <x v="7"/>
    <s v="Residential"/>
    <x v="7"/>
    <n v="19"/>
    <n v="19"/>
    <n v="19"/>
    <n v="0"/>
  </r>
  <r>
    <x v="7"/>
    <s v="Accomodation"/>
    <x v="2"/>
    <n v="564"/>
    <n v="609"/>
    <n v="609"/>
    <n v="0"/>
  </r>
  <r>
    <x v="7"/>
    <s v="Rural"/>
    <x v="5"/>
    <n v="1"/>
    <n v="1"/>
    <n v="1"/>
    <n v="0"/>
  </r>
  <r>
    <x v="7"/>
    <s v="Commercial"/>
    <x v="0"/>
    <n v="1"/>
    <n v="3"/>
    <n v="3"/>
    <n v="0"/>
  </r>
  <r>
    <x v="7"/>
    <s v="Accomodation"/>
    <x v="2"/>
    <n v="18"/>
    <n v="20"/>
    <n v="20"/>
    <n v="0"/>
  </r>
  <r>
    <x v="7"/>
    <s v="Accomodation"/>
    <x v="2"/>
    <n v="3"/>
    <n v="6"/>
    <n v="6"/>
    <n v="0"/>
  </r>
  <r>
    <x v="7"/>
    <s v="Accomodation"/>
    <x v="2"/>
    <n v="50"/>
    <n v="99"/>
    <n v="99"/>
    <n v="0"/>
  </r>
  <r>
    <x v="7"/>
    <s v="Residential"/>
    <x v="7"/>
    <n v="1"/>
    <n v="2"/>
    <n v="2"/>
    <n v="0"/>
  </r>
  <r>
    <x v="7"/>
    <s v="Accomodation"/>
    <x v="2"/>
    <n v="2"/>
    <n v="2"/>
    <n v="2"/>
    <n v="0"/>
  </r>
  <r>
    <x v="7"/>
    <s v="Accomodation"/>
    <x v="8"/>
    <n v="1"/>
    <n v="1"/>
    <n v="0"/>
    <n v="1"/>
  </r>
  <r>
    <x v="7"/>
    <s v="Residential"/>
    <x v="4"/>
    <n v="9"/>
    <n v="9"/>
    <n v="9"/>
    <n v="0"/>
  </r>
  <r>
    <x v="7"/>
    <s v="Commercial"/>
    <x v="0"/>
    <n v="3"/>
    <n v="3"/>
    <n v="3"/>
    <n v="0"/>
  </r>
  <r>
    <x v="7"/>
    <s v="Accomodation"/>
    <x v="2"/>
    <n v="1"/>
    <n v="2"/>
    <n v="2"/>
    <n v="0"/>
  </r>
  <r>
    <x v="7"/>
    <s v="Rural"/>
    <x v="5"/>
    <n v="21"/>
    <n v="21"/>
    <n v="21"/>
    <n v="0"/>
  </r>
  <r>
    <x v="7"/>
    <s v="Residential"/>
    <x v="7"/>
    <n v="175"/>
    <n v="352"/>
    <n v="352"/>
    <n v="0"/>
  </r>
  <r>
    <x v="7"/>
    <s v="Rural"/>
    <x v="10"/>
    <n v="14"/>
    <n v="26"/>
    <n v="26"/>
    <n v="0"/>
  </r>
  <r>
    <x v="7"/>
    <s v="Residential"/>
    <x v="4"/>
    <n v="4"/>
    <n v="4"/>
    <n v="4"/>
    <n v="0"/>
  </r>
  <r>
    <x v="7"/>
    <s v="Vacant"/>
    <x v="3"/>
    <n v="1"/>
    <n v="1"/>
    <n v="1"/>
    <n v="0"/>
  </r>
  <r>
    <x v="7"/>
    <s v="Hydro/Utility"/>
    <x v="9"/>
    <n v="1"/>
    <n v="1"/>
    <n v="1"/>
    <n v="0"/>
  </r>
  <r>
    <x v="7"/>
    <s v="Commercial"/>
    <x v="0"/>
    <n v="58"/>
    <n v="182"/>
    <n v="182"/>
    <n v="0"/>
  </r>
  <r>
    <x v="7"/>
    <s v="Rural"/>
    <x v="6"/>
    <n v="138"/>
    <n v="313"/>
    <n v="313"/>
    <n v="0"/>
  </r>
  <r>
    <x v="7"/>
    <s v="Commercial"/>
    <x v="0"/>
    <n v="5"/>
    <n v="5"/>
    <n v="5"/>
    <n v="0"/>
  </r>
  <r>
    <x v="7"/>
    <s v="Rural"/>
    <x v="10"/>
    <n v="1"/>
    <n v="2"/>
    <n v="2"/>
    <n v="0"/>
  </r>
  <r>
    <x v="7"/>
    <s v="Vacant"/>
    <x v="3"/>
    <n v="1186"/>
    <n v="1190"/>
    <n v="1190"/>
    <n v="0"/>
  </r>
  <r>
    <x v="7"/>
    <s v="Commercial"/>
    <x v="0"/>
    <n v="1"/>
    <n v="1"/>
    <n v="1"/>
    <n v="0"/>
  </r>
  <r>
    <x v="7"/>
    <s v="Residential"/>
    <x v="7"/>
    <n v="3"/>
    <n v="3"/>
    <n v="3"/>
    <n v="0"/>
  </r>
  <r>
    <x v="7"/>
    <s v="Accomodation"/>
    <x v="8"/>
    <n v="137"/>
    <n v="416"/>
    <n v="635"/>
    <n v="219"/>
  </r>
  <r>
    <x v="7"/>
    <s v="Commercial"/>
    <x v="1"/>
    <n v="17"/>
    <n v="18"/>
    <n v="18"/>
    <n v="0"/>
  </r>
  <r>
    <x v="7"/>
    <s v="Accomodation"/>
    <x v="2"/>
    <n v="2"/>
    <n v="2"/>
    <n v="2"/>
    <n v="0"/>
  </r>
  <r>
    <x v="7"/>
    <s v="Residential"/>
    <x v="7"/>
    <n v="5358"/>
    <n v="5764"/>
    <n v="5764"/>
    <n v="0"/>
  </r>
  <r>
    <x v="7"/>
    <s v="Commercial"/>
    <x v="0"/>
    <n v="5"/>
    <n v="5"/>
    <n v="5"/>
    <n v="0"/>
  </r>
  <r>
    <x v="7"/>
    <s v="Accomodation"/>
    <x v="8"/>
    <n v="8"/>
    <n v="29"/>
    <n v="89"/>
    <n v="60"/>
  </r>
  <r>
    <x v="7"/>
    <s v="Commercial"/>
    <x v="0"/>
    <n v="181"/>
    <n v="370"/>
    <n v="370"/>
    <n v="0"/>
  </r>
  <r>
    <x v="7"/>
    <s v="Rural"/>
    <x v="10"/>
    <n v="1"/>
    <n v="2"/>
    <n v="2"/>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33E033-5FA8-48CF-ACE6-516657399F28}" name="PivotTable1" cacheId="0" applyNumberFormats="0" applyBorderFormats="0" applyFontFormats="0" applyPatternFormats="0" applyAlignmentFormats="0" applyWidthHeightFormats="1" dataCaption="Values" updatedVersion="8" minRefreshableVersion="3" showDrill="0" showDataTips="0" useAutoFormatting="1" itemPrintTitles="1" createdVersion="8" indent="0" compact="0" compactData="0" gridDropZones="1" multipleFieldFilters="0">
  <location ref="K3:O50" firstHeaderRow="1" firstDataRow="2" firstDataCol="2"/>
  <pivotFields count="8">
    <pivotField axis="axisRow" compact="0" outline="0" showAll="0">
      <items count="9">
        <item x="0"/>
        <item x="1"/>
        <item x="2"/>
        <item x="3"/>
        <item x="4"/>
        <item x="5"/>
        <item x="6"/>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4"/>
        <item x="7"/>
        <item x="5"/>
        <item x="8"/>
        <item x="2"/>
        <item x="0"/>
        <item x="11"/>
        <item x="1"/>
        <item h="1" x="9"/>
        <item x="6"/>
        <item x="10"/>
        <item h="1" x="3"/>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8">
        <item x="1"/>
        <item x="2"/>
        <item n="Rural" x="4"/>
        <item n="Accomodation" x="5"/>
        <item n="Commerical" x="6"/>
        <item h="1" x="3"/>
        <item h="1" x="0"/>
        <item t="default"/>
      </items>
      <extLst>
        <ext xmlns:x14="http://schemas.microsoft.com/office/spreadsheetml/2009/9/main" uri="{2946ED86-A175-432a-8AC1-64E0C546D7DE}">
          <x14:pivotField fillDownLabels="1"/>
        </ext>
      </extLst>
    </pivotField>
  </pivotFields>
  <rowFields count="2">
    <field x="0"/>
    <field x="7"/>
  </rowFields>
  <rowItems count="46">
    <i>
      <x/>
      <x/>
    </i>
    <i r="1">
      <x v="1"/>
    </i>
    <i r="1">
      <x v="2"/>
    </i>
    <i r="1">
      <x v="3"/>
    </i>
    <i r="1">
      <x v="4"/>
    </i>
    <i t="default">
      <x/>
    </i>
    <i>
      <x v="1"/>
      <x v="1"/>
    </i>
    <i r="1">
      <x v="2"/>
    </i>
    <i r="1">
      <x v="3"/>
    </i>
    <i r="1">
      <x v="4"/>
    </i>
    <i t="default">
      <x v="1"/>
    </i>
    <i>
      <x v="2"/>
      <x/>
    </i>
    <i r="1">
      <x v="1"/>
    </i>
    <i r="1">
      <x v="3"/>
    </i>
    <i r="1">
      <x v="4"/>
    </i>
    <i t="default">
      <x v="2"/>
    </i>
    <i>
      <x v="3"/>
      <x/>
    </i>
    <i r="1">
      <x v="1"/>
    </i>
    <i r="1">
      <x v="2"/>
    </i>
    <i r="1">
      <x v="3"/>
    </i>
    <i r="1">
      <x v="4"/>
    </i>
    <i t="default">
      <x v="3"/>
    </i>
    <i>
      <x v="4"/>
      <x/>
    </i>
    <i r="1">
      <x v="1"/>
    </i>
    <i r="1">
      <x v="2"/>
    </i>
    <i r="1">
      <x v="3"/>
    </i>
    <i r="1">
      <x v="4"/>
    </i>
    <i t="default">
      <x v="4"/>
    </i>
    <i>
      <x v="5"/>
      <x v="1"/>
    </i>
    <i r="1">
      <x v="2"/>
    </i>
    <i r="1">
      <x v="3"/>
    </i>
    <i r="1">
      <x v="4"/>
    </i>
    <i t="default">
      <x v="5"/>
    </i>
    <i>
      <x v="6"/>
      <x/>
    </i>
    <i r="1">
      <x v="1"/>
    </i>
    <i r="1">
      <x v="2"/>
    </i>
    <i r="1">
      <x v="3"/>
    </i>
    <i r="1">
      <x v="4"/>
    </i>
    <i t="default">
      <x v="6"/>
    </i>
    <i>
      <x v="7"/>
      <x/>
    </i>
    <i r="1">
      <x v="1"/>
    </i>
    <i r="1">
      <x v="2"/>
    </i>
    <i r="1">
      <x v="3"/>
    </i>
    <i r="1">
      <x v="4"/>
    </i>
    <i t="default">
      <x v="7"/>
    </i>
    <i t="grand">
      <x/>
    </i>
  </rowItems>
  <colFields count="1">
    <field x="-2"/>
  </colFields>
  <colItems count="3">
    <i>
      <x/>
    </i>
    <i i="1">
      <x v="1"/>
    </i>
    <i i="2">
      <x v="2"/>
    </i>
  </colItems>
  <dataFields count="3">
    <dataField name="Connections" fld="3" baseField="0" baseItem="0"/>
    <dataField name="SUIPS" fld="4" baseField="0" baseItem="0"/>
    <dataField name="Demand 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DA64BB-6960-4CB5-AD86-7252CEFBC44C}" name="Table1" displayName="Table1" ref="B3:H178" totalsRowCount="1" headerRowDxfId="26" dataDxfId="24" headerRowBorderDxfId="25" tableBorderDxfId="23" totalsRowBorderDxfId="22">
  <autoFilter ref="B3:H177" xr:uid="{BBDA64BB-6960-4CB5-AD86-7252CEFBC44C}"/>
  <tableColumns count="7">
    <tableColumn id="1" xr3:uid="{746D7F77-6632-4706-A2A8-C4BC970CC7CB}" name="Scheme" dataDxfId="21" totalsRowDxfId="20"/>
    <tableColumn id="2" xr3:uid="{C1A8488E-2018-410D-BFD4-7C6CB9D7382F}" name="Customer Category" dataDxfId="19" totalsRowDxfId="18"/>
    <tableColumn id="3" xr3:uid="{2DCA0F5E-BDE8-46AC-85EC-55677655AE47}" name="Sub-Category" dataDxfId="17" totalsRowDxfId="16"/>
    <tableColumn id="4" xr3:uid="{23B1079B-11F7-4A81-A709-98EDE8892818}" name="WaterConns" dataDxfId="15" totalsRowDxfId="14"/>
    <tableColumn id="5" xr3:uid="{EBE0CC67-00BB-44D2-8735-600B870387FF}" name="WaterSUIPs" dataDxfId="13" totalsRowDxfId="12"/>
    <tableColumn id="6" xr3:uid="{0BDBD7B5-2B04-4BB8-AF08-9B6143BDE2A5}" name="WaterDemUnits" dataDxfId="11" totalsRowDxfId="10"/>
    <tableColumn id="7" xr3:uid="{E7C0321C-39EB-4C20-B7CC-0B23BE4EBDA9}" name="Difference (Absolute)" totalsRowFunction="sum" dataDxfId="9" totalsRowDxfId="8">
      <calculatedColumnFormula>ABS(Table1[[#This Row],[WaterDemUnits]]-Table1[[#This Row],[WaterSUIPs]])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28" dT="2022-03-27T22:58:25.37" personId="{204B030A-F819-4BD7-8BFD-31BFB6C3CB38}" id="{8D5AD2FC-BD79-4392-B35A-EF1D14FE2598}">
    <text>Need to extract Millbrook reveneue and expenditure, otherwise include.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4E3F-020C-491B-B69F-968FA4C0004E}">
  <sheetPr>
    <tabColor theme="9"/>
    <pageSetUpPr fitToPage="1"/>
  </sheetPr>
  <dimension ref="A1:S195"/>
  <sheetViews>
    <sheetView tabSelected="1" zoomScale="55" zoomScaleNormal="55" zoomScaleSheetLayoutView="70" zoomScalePageLayoutView="60" workbookViewId="0">
      <pane xSplit="6" ySplit="9" topLeftCell="G10" activePane="bottomRight" state="frozen"/>
      <selection pane="topRight" activeCell="F1" sqref="F1"/>
      <selection pane="bottomLeft" activeCell="A9" sqref="A9"/>
      <selection pane="bottomRight" activeCell="K15" sqref="K15"/>
    </sheetView>
  </sheetViews>
  <sheetFormatPr defaultRowHeight="14.25" outlineLevelRow="2" x14ac:dyDescent="0.45"/>
  <cols>
    <col min="1" max="1" width="20.265625" customWidth="1"/>
    <col min="2" max="2" width="2.265625" customWidth="1"/>
    <col min="3" max="3" width="16.1328125" customWidth="1"/>
    <col min="4" max="4" width="30.6640625" customWidth="1"/>
    <col min="5" max="5" width="16.19921875" customWidth="1"/>
    <col min="6" max="6" width="33.06640625" style="4" customWidth="1"/>
    <col min="7" max="7" width="23.3984375" style="4" customWidth="1"/>
    <col min="8" max="8" width="17.6640625" style="4" customWidth="1"/>
    <col min="9" max="18" width="19.796875" style="4" customWidth="1"/>
    <col min="19" max="39" width="16.796875" customWidth="1"/>
  </cols>
  <sheetData>
    <row r="1" spans="1:19" s="2" customFormat="1" ht="39" customHeight="1" x14ac:dyDescent="0.65">
      <c r="A1" s="2" t="s">
        <v>3</v>
      </c>
      <c r="B1"/>
      <c r="D1" s="60" t="s">
        <v>240</v>
      </c>
      <c r="E1" s="60" t="s">
        <v>1</v>
      </c>
      <c r="F1" s="60" t="s">
        <v>2</v>
      </c>
      <c r="G1" s="61" t="s">
        <v>367</v>
      </c>
      <c r="H1" s="61" t="s">
        <v>65</v>
      </c>
      <c r="I1" s="61" t="s">
        <v>59</v>
      </c>
      <c r="J1" s="61" t="s">
        <v>66</v>
      </c>
      <c r="K1" s="61" t="s">
        <v>213</v>
      </c>
      <c r="L1" s="91" t="s">
        <v>67</v>
      </c>
      <c r="M1" s="91" t="s">
        <v>69</v>
      </c>
      <c r="N1" s="61" t="s">
        <v>68</v>
      </c>
      <c r="O1" s="61" t="s">
        <v>70</v>
      </c>
      <c r="P1" s="61" t="s">
        <v>71</v>
      </c>
      <c r="Q1" s="61" t="s">
        <v>204</v>
      </c>
      <c r="R1" s="61" t="s">
        <v>198</v>
      </c>
      <c r="S1" s="2" t="s">
        <v>375</v>
      </c>
    </row>
    <row r="2" spans="1:19" s="2" customFormat="1" ht="39" customHeight="1" x14ac:dyDescent="0.45">
      <c r="B2"/>
      <c r="D2" s="1"/>
      <c r="E2" s="1"/>
      <c r="F2" s="1"/>
      <c r="G2" s="47" t="s">
        <v>344</v>
      </c>
      <c r="H2" s="1"/>
      <c r="I2" s="1"/>
      <c r="J2" s="1"/>
      <c r="K2" s="1"/>
      <c r="L2" s="1"/>
      <c r="M2" s="1"/>
      <c r="N2" s="1"/>
      <c r="O2" s="1"/>
      <c r="P2" s="1"/>
      <c r="Q2" s="1"/>
      <c r="R2" s="1"/>
    </row>
    <row r="3" spans="1:19" ht="14.65" thickBot="1" x14ac:dyDescent="0.5">
      <c r="D3" s="3" t="s">
        <v>4</v>
      </c>
      <c r="E3" s="56"/>
    </row>
    <row r="4" spans="1:19" x14ac:dyDescent="0.45">
      <c r="A4" s="88" t="s">
        <v>7</v>
      </c>
      <c r="C4" s="205" t="s">
        <v>244</v>
      </c>
      <c r="D4" s="5" t="s">
        <v>5</v>
      </c>
      <c r="E4" s="56" t="s">
        <v>63</v>
      </c>
      <c r="F4" s="4" t="s">
        <v>6</v>
      </c>
      <c r="G4" s="15" t="s">
        <v>208</v>
      </c>
      <c r="H4" s="15" t="s">
        <v>208</v>
      </c>
      <c r="I4" s="15" t="s">
        <v>208</v>
      </c>
      <c r="J4" s="15" t="s">
        <v>208</v>
      </c>
      <c r="K4" s="15" t="s">
        <v>208</v>
      </c>
      <c r="L4" s="15" t="s">
        <v>208</v>
      </c>
      <c r="M4" s="15" t="s">
        <v>208</v>
      </c>
      <c r="N4" s="15" t="s">
        <v>208</v>
      </c>
      <c r="O4" s="15" t="s">
        <v>208</v>
      </c>
      <c r="P4" s="15" t="s">
        <v>208</v>
      </c>
      <c r="Q4" s="15" t="s">
        <v>208</v>
      </c>
      <c r="R4" s="15" t="s">
        <v>208</v>
      </c>
      <c r="S4" s="15" t="s">
        <v>208</v>
      </c>
    </row>
    <row r="5" spans="1:19" x14ac:dyDescent="0.45">
      <c r="A5" s="89" t="s">
        <v>131</v>
      </c>
      <c r="C5" s="206"/>
      <c r="D5" s="5" t="s">
        <v>8</v>
      </c>
      <c r="E5" s="56"/>
      <c r="F5" s="4" t="s">
        <v>9</v>
      </c>
      <c r="G5" s="4">
        <f>IFERROR(VALUE(RIGHT(G4,8))-VALUE(LEFT(G4,8)),0)+1</f>
        <v>366</v>
      </c>
      <c r="H5" s="4">
        <f t="shared" ref="H5:P5" si="0">IFERROR(VALUE(RIGHT(H4,8))-VALUE(LEFT(H4,8)),0)+1</f>
        <v>366</v>
      </c>
      <c r="I5" s="4">
        <f t="shared" si="0"/>
        <v>366</v>
      </c>
      <c r="J5" s="4">
        <f t="shared" si="0"/>
        <v>366</v>
      </c>
      <c r="K5" s="4">
        <f t="shared" ref="K5" si="1">IFERROR(VALUE(RIGHT(K4,8))-VALUE(LEFT(K4,8)),0)+1</f>
        <v>366</v>
      </c>
      <c r="L5" s="4">
        <f t="shared" si="0"/>
        <v>366</v>
      </c>
      <c r="M5" s="4">
        <f>IFERROR(VALUE(RIGHT(M4,8))-VALUE(LEFT(M4,8)),0)+1</f>
        <v>366</v>
      </c>
      <c r="N5" s="4">
        <f t="shared" si="0"/>
        <v>366</v>
      </c>
      <c r="O5" s="4">
        <f t="shared" si="0"/>
        <v>366</v>
      </c>
      <c r="P5" s="4">
        <f t="shared" si="0"/>
        <v>366</v>
      </c>
      <c r="Q5" s="4">
        <f t="shared" ref="Q5:R5" si="2">IFERROR(VALUE(RIGHT(Q4,8))-VALUE(LEFT(Q4,8)),0)+1</f>
        <v>366</v>
      </c>
      <c r="R5" s="4">
        <f t="shared" si="2"/>
        <v>366</v>
      </c>
      <c r="S5" s="4">
        <f t="shared" ref="S5" si="3">IFERROR(VALUE(RIGHT(S4,8))-VALUE(LEFT(S4,8)),0)+1</f>
        <v>366</v>
      </c>
    </row>
    <row r="6" spans="1:19" x14ac:dyDescent="0.45">
      <c r="A6" s="90" t="s">
        <v>132</v>
      </c>
      <c r="C6" s="206"/>
      <c r="D6" s="5" t="s">
        <v>11</v>
      </c>
      <c r="E6" s="56" t="s">
        <v>12</v>
      </c>
      <c r="F6" s="4" t="s">
        <v>13</v>
      </c>
      <c r="G6" s="8">
        <f>'Demand Assumptions'!C47</f>
        <v>1168959</v>
      </c>
      <c r="H6" s="8">
        <f>'Demand Assumptions'!C48</f>
        <v>331233</v>
      </c>
      <c r="I6" s="8">
        <f>'Demand Assumptions'!C50</f>
        <v>153844</v>
      </c>
      <c r="J6" s="8">
        <f>'Demand Assumptions'!C51</f>
        <v>751361</v>
      </c>
      <c r="K6" s="8">
        <f>SUM('Demand Assumptions'!C52:C53)</f>
        <v>1200757.3999999999</v>
      </c>
      <c r="L6" s="8"/>
      <c r="M6" s="8"/>
      <c r="N6" s="8">
        <f>'Demand Assumptions'!C54</f>
        <v>127650</v>
      </c>
      <c r="O6" s="8">
        <f>SUM('Demand Assumptions'!C55:C57)</f>
        <v>5316768</v>
      </c>
      <c r="P6" s="8">
        <f>SUM('Demand Assumptions'!C59,'Demand Assumptions'!C60)</f>
        <v>4290682</v>
      </c>
      <c r="Q6" s="8">
        <f>'Demand Assumptions'!C58</f>
        <v>26013</v>
      </c>
      <c r="R6" s="8">
        <f>'Demand Assumptions'!C49</f>
        <v>79360</v>
      </c>
      <c r="S6" s="282">
        <f>SUM(G6:R6)</f>
        <v>13446627.4</v>
      </c>
    </row>
    <row r="7" spans="1:19" x14ac:dyDescent="0.45">
      <c r="A7" s="7" t="s">
        <v>10</v>
      </c>
      <c r="C7" s="206"/>
      <c r="D7" s="5" t="s">
        <v>119</v>
      </c>
      <c r="E7" s="56" t="s">
        <v>341</v>
      </c>
      <c r="F7" s="4" t="s">
        <v>13</v>
      </c>
      <c r="G7" s="8">
        <f>'Demand Assumptions'!C61</f>
        <v>194856.54926634321</v>
      </c>
      <c r="H7" s="8"/>
      <c r="I7" s="8"/>
      <c r="J7" s="8"/>
      <c r="K7" s="8"/>
      <c r="L7" s="8"/>
      <c r="M7" s="8"/>
      <c r="N7" s="8"/>
      <c r="O7" s="8"/>
      <c r="P7" s="8"/>
      <c r="Q7" s="8"/>
      <c r="R7" s="8"/>
    </row>
    <row r="8" spans="1:19" x14ac:dyDescent="0.45">
      <c r="C8" s="206"/>
      <c r="D8" s="5" t="s">
        <v>120</v>
      </c>
      <c r="E8" s="56"/>
      <c r="F8" s="4" t="s">
        <v>13</v>
      </c>
      <c r="G8" s="8"/>
      <c r="H8" s="8"/>
      <c r="I8" s="8"/>
      <c r="J8" s="8"/>
      <c r="K8" s="8"/>
      <c r="L8" s="8"/>
      <c r="M8" s="8"/>
      <c r="N8" s="8"/>
      <c r="O8" s="8"/>
      <c r="P8" s="8"/>
      <c r="Q8" s="8"/>
      <c r="R8" s="8"/>
    </row>
    <row r="9" spans="1:19" ht="18.399999999999999" thickBot="1" x14ac:dyDescent="0.6">
      <c r="C9" s="207"/>
      <c r="D9" s="102" t="s">
        <v>122</v>
      </c>
      <c r="E9" s="56" t="s">
        <v>242</v>
      </c>
      <c r="F9" s="4" t="s">
        <v>13</v>
      </c>
      <c r="G9" s="105">
        <f>G6-G7+G8</f>
        <v>974102.45073365676</v>
      </c>
      <c r="H9" s="105">
        <f t="shared" ref="H9:P9" si="4">H6-H7+H8</f>
        <v>331233</v>
      </c>
      <c r="I9" s="105">
        <f t="shared" si="4"/>
        <v>153844</v>
      </c>
      <c r="J9" s="105">
        <f t="shared" si="4"/>
        <v>751361</v>
      </c>
      <c r="K9" s="105">
        <f t="shared" ref="K9" si="5">K6-K7+K8</f>
        <v>1200757.3999999999</v>
      </c>
      <c r="L9" s="105">
        <f t="shared" si="4"/>
        <v>0</v>
      </c>
      <c r="M9" s="105">
        <f>M6-M7+M8</f>
        <v>0</v>
      </c>
      <c r="N9" s="105">
        <f t="shared" si="4"/>
        <v>127650</v>
      </c>
      <c r="O9" s="105">
        <f t="shared" si="4"/>
        <v>5316768</v>
      </c>
      <c r="P9" s="105">
        <f t="shared" si="4"/>
        <v>4290682</v>
      </c>
      <c r="Q9" s="105">
        <f t="shared" ref="Q9:R9" si="6">Q6-Q7+Q8</f>
        <v>26013</v>
      </c>
      <c r="R9" s="105">
        <f t="shared" si="6"/>
        <v>79360</v>
      </c>
      <c r="S9" s="105">
        <f>SUM(G9:R9)</f>
        <v>13251770.850733656</v>
      </c>
    </row>
    <row r="10" spans="1:19" x14ac:dyDescent="0.45">
      <c r="D10" s="5" t="s">
        <v>363</v>
      </c>
      <c r="E10" s="113" t="s">
        <v>241</v>
      </c>
      <c r="F10" s="4" t="s">
        <v>13</v>
      </c>
      <c r="G10" s="197">
        <f>+'[1]Water Balance'!F8</f>
        <v>828051.23098780331</v>
      </c>
      <c r="H10" s="197">
        <f>+'[1]Water Balance'!G8</f>
        <v>190844</v>
      </c>
      <c r="I10" s="197">
        <f>+'[1]Water Balance'!H8</f>
        <v>205962.16131539992</v>
      </c>
      <c r="J10" s="197">
        <f>+'[1]Water Balance'!I8</f>
        <v>478773.32521274267</v>
      </c>
      <c r="K10" s="197">
        <f>'[1]Water Balance'!$J$8+'[1]Water Balance'!$L$8</f>
        <v>1017002.3545366544</v>
      </c>
      <c r="L10" s="197"/>
      <c r="M10" s="197"/>
      <c r="N10" s="197">
        <f>+'[1]Water Balance'!$K$8</f>
        <v>94160</v>
      </c>
      <c r="O10" s="197">
        <f>+'[1]Water Balance'!$M$8</f>
        <v>4843075</v>
      </c>
      <c r="P10" s="197">
        <f>+'[1]Water Balance'!$N$8</f>
        <v>3519466.9000000097</v>
      </c>
      <c r="Q10" s="197"/>
      <c r="R10" s="197"/>
    </row>
    <row r="11" spans="1:19" x14ac:dyDescent="0.45">
      <c r="D11" s="5" t="s">
        <v>364</v>
      </c>
      <c r="E11" s="113"/>
      <c r="G11" s="198">
        <f>+(G9-G10)/G9</f>
        <v>0.14993414669663674</v>
      </c>
      <c r="H11" s="198">
        <f>+(H9-H10)/H9</f>
        <v>0.42383760072215027</v>
      </c>
      <c r="I11" s="198">
        <f>+(I9-I10)/I9</f>
        <v>-0.33877279136917865</v>
      </c>
      <c r="J11" s="198">
        <f>+(J9-J10)/J9</f>
        <v>0.3627918867059341</v>
      </c>
      <c r="K11" s="198">
        <f>+(K9-K10)/K9</f>
        <v>0.15303261546699232</v>
      </c>
      <c r="L11" s="198"/>
      <c r="M11" s="198"/>
      <c r="N11" s="198">
        <f>+(N9-N10)/N9</f>
        <v>0.26235801018409716</v>
      </c>
      <c r="O11" s="198">
        <f>+(O9-O10)/O9</f>
        <v>8.9094163973301069E-2</v>
      </c>
      <c r="P11" s="198">
        <f>+(P9-P10)/P9</f>
        <v>0.17974184523579009</v>
      </c>
      <c r="Q11" s="198"/>
      <c r="R11" s="198"/>
    </row>
    <row r="12" spans="1:19" ht="14.65" thickBot="1" x14ac:dyDescent="0.5">
      <c r="E12" s="113"/>
      <c r="G12" s="114"/>
      <c r="H12" s="197"/>
      <c r="I12" s="114"/>
      <c r="J12" s="114"/>
      <c r="K12" s="98"/>
      <c r="L12" s="113"/>
      <c r="M12" s="114"/>
      <c r="N12" s="114"/>
      <c r="O12" s="114"/>
      <c r="P12" s="114"/>
      <c r="Q12" s="114"/>
      <c r="R12" s="114"/>
    </row>
    <row r="13" spans="1:19" outlineLevel="1" x14ac:dyDescent="0.45">
      <c r="C13" s="213" t="s">
        <v>238</v>
      </c>
      <c r="D13" s="3" t="s">
        <v>14</v>
      </c>
      <c r="E13" s="56"/>
      <c r="F13" s="158"/>
      <c r="G13" s="113"/>
      <c r="H13" s="113"/>
      <c r="I13" s="113"/>
      <c r="J13" s="113"/>
      <c r="K13" s="113"/>
      <c r="L13" s="113"/>
      <c r="M13" s="113"/>
      <c r="N13" s="113"/>
      <c r="O13" s="113"/>
      <c r="P13" s="113"/>
      <c r="Q13" s="113"/>
      <c r="R13" s="113"/>
    </row>
    <row r="14" spans="1:19" outlineLevel="1" x14ac:dyDescent="0.45">
      <c r="C14" s="214"/>
      <c r="D14" s="5" t="s">
        <v>15</v>
      </c>
      <c r="E14" s="56"/>
      <c r="F14" s="158" t="s">
        <v>16</v>
      </c>
      <c r="G14" s="51"/>
      <c r="H14" s="51"/>
      <c r="I14" s="51"/>
      <c r="J14" s="51"/>
      <c r="K14" s="51"/>
      <c r="L14" s="51"/>
      <c r="M14" s="51"/>
      <c r="N14" s="51"/>
      <c r="O14" s="51"/>
      <c r="P14" s="51"/>
      <c r="Q14" s="51"/>
      <c r="R14" s="51"/>
    </row>
    <row r="15" spans="1:19" outlineLevel="1" x14ac:dyDescent="0.45">
      <c r="C15" s="214"/>
      <c r="D15" s="5" t="s">
        <v>17</v>
      </c>
      <c r="E15" s="56" t="s">
        <v>62</v>
      </c>
      <c r="F15" s="158" t="s">
        <v>18</v>
      </c>
      <c r="G15" s="51"/>
      <c r="H15" s="51"/>
      <c r="I15" s="51"/>
      <c r="J15" s="51"/>
      <c r="K15" s="51"/>
      <c r="L15" s="51"/>
      <c r="M15" s="51"/>
      <c r="N15" s="51"/>
      <c r="O15" s="51"/>
      <c r="P15" s="51"/>
      <c r="Q15" s="51"/>
      <c r="R15" s="51"/>
    </row>
    <row r="16" spans="1:19" outlineLevel="1" x14ac:dyDescent="0.45">
      <c r="C16" s="214"/>
      <c r="D16" s="5" t="s">
        <v>19</v>
      </c>
      <c r="E16" s="56" t="s">
        <v>20</v>
      </c>
      <c r="F16" s="158" t="s">
        <v>16</v>
      </c>
      <c r="G16" s="51"/>
      <c r="H16" s="51"/>
      <c r="I16" s="51"/>
      <c r="J16" s="51"/>
      <c r="K16" s="51"/>
      <c r="L16" s="51"/>
      <c r="M16" s="51"/>
      <c r="N16" s="51"/>
      <c r="O16" s="51"/>
      <c r="P16" s="51"/>
      <c r="Q16" s="51"/>
      <c r="R16" s="51"/>
    </row>
    <row r="17" spans="3:18" outlineLevel="1" x14ac:dyDescent="0.45">
      <c r="C17" s="214"/>
      <c r="E17" s="56"/>
      <c r="F17" s="159"/>
      <c r="G17" s="115"/>
      <c r="H17" s="115"/>
      <c r="I17" s="115"/>
      <c r="J17" s="115"/>
      <c r="K17" s="115"/>
      <c r="L17" s="115"/>
      <c r="M17" s="115"/>
      <c r="N17" s="115"/>
      <c r="O17" s="115"/>
      <c r="P17" s="115"/>
      <c r="Q17" s="115"/>
      <c r="R17" s="115"/>
    </row>
    <row r="18" spans="3:18" outlineLevel="1" x14ac:dyDescent="0.45">
      <c r="C18" s="214"/>
      <c r="D18" s="2" t="s">
        <v>239</v>
      </c>
      <c r="E18" s="56"/>
      <c r="F18" s="158"/>
      <c r="G18" s="113"/>
      <c r="H18" s="113"/>
      <c r="I18" s="113"/>
      <c r="J18" s="113"/>
      <c r="K18" s="113"/>
      <c r="L18" s="113"/>
      <c r="M18" s="113"/>
      <c r="N18" s="113"/>
      <c r="O18" s="113"/>
      <c r="P18" s="113"/>
      <c r="Q18" s="113"/>
      <c r="R18" s="113"/>
    </row>
    <row r="19" spans="3:18" ht="14.65" outlineLevel="1" thickBot="1" x14ac:dyDescent="0.5">
      <c r="C19" s="214"/>
      <c r="D19" s="5" t="s">
        <v>179</v>
      </c>
      <c r="E19" s="56" t="s">
        <v>186</v>
      </c>
      <c r="F19" s="158" t="s">
        <v>342</v>
      </c>
      <c r="G19" s="51">
        <v>1000</v>
      </c>
      <c r="H19" s="51">
        <v>750</v>
      </c>
      <c r="I19" s="183">
        <f>+I28</f>
        <v>550</v>
      </c>
      <c r="J19" s="51">
        <v>900</v>
      </c>
      <c r="K19" s="51">
        <v>700</v>
      </c>
      <c r="L19" s="51">
        <v>900</v>
      </c>
      <c r="M19" s="51">
        <v>700</v>
      </c>
      <c r="N19" s="183">
        <f>+N28</f>
        <v>900</v>
      </c>
      <c r="O19" s="51">
        <v>900</v>
      </c>
      <c r="P19" s="51">
        <v>1000</v>
      </c>
      <c r="Q19" s="51">
        <v>1000</v>
      </c>
      <c r="R19" s="51">
        <v>1000</v>
      </c>
    </row>
    <row r="20" spans="3:18" ht="15" outlineLevel="1" thickTop="1" thickBot="1" x14ac:dyDescent="0.5">
      <c r="C20" s="214"/>
      <c r="D20" s="5" t="s">
        <v>180</v>
      </c>
      <c r="E20" s="56" t="s">
        <v>186</v>
      </c>
      <c r="F20" s="158" t="s">
        <v>342</v>
      </c>
      <c r="G20" s="51">
        <v>600</v>
      </c>
      <c r="H20" s="51">
        <v>750</v>
      </c>
      <c r="I20" s="183">
        <f>+I29</f>
        <v>550</v>
      </c>
      <c r="J20" s="51">
        <v>900</v>
      </c>
      <c r="K20" s="51">
        <v>700</v>
      </c>
      <c r="L20" s="51">
        <v>900</v>
      </c>
      <c r="M20" s="51">
        <v>700</v>
      </c>
      <c r="N20" s="183">
        <f>+N29</f>
        <v>900</v>
      </c>
      <c r="O20" s="51">
        <v>600</v>
      </c>
      <c r="P20" s="51">
        <v>600</v>
      </c>
      <c r="Q20" s="51">
        <v>600</v>
      </c>
      <c r="R20" s="51">
        <v>600</v>
      </c>
    </row>
    <row r="21" spans="3:18" ht="14.65" outlineLevel="1" thickTop="1" x14ac:dyDescent="0.45">
      <c r="C21" s="214"/>
      <c r="D21" s="5" t="s">
        <v>181</v>
      </c>
      <c r="E21" s="56" t="s">
        <v>186</v>
      </c>
      <c r="F21" s="158" t="s">
        <v>342</v>
      </c>
      <c r="G21" s="51">
        <v>2000</v>
      </c>
      <c r="H21" s="51">
        <v>2000</v>
      </c>
      <c r="I21" s="51">
        <v>1200</v>
      </c>
      <c r="J21" s="51">
        <v>2000</v>
      </c>
      <c r="K21" s="51">
        <v>2000</v>
      </c>
      <c r="L21" s="51">
        <v>2000</v>
      </c>
      <c r="M21" s="51">
        <v>2000</v>
      </c>
      <c r="N21" s="51">
        <v>2000</v>
      </c>
      <c r="O21" s="51">
        <v>2000</v>
      </c>
      <c r="P21" s="51">
        <v>2000</v>
      </c>
      <c r="Q21" s="51">
        <v>2000</v>
      </c>
      <c r="R21" s="51">
        <v>2000</v>
      </c>
    </row>
    <row r="22" spans="3:18" outlineLevel="1" x14ac:dyDescent="0.45">
      <c r="C22" s="214"/>
      <c r="D22" s="5" t="s">
        <v>182</v>
      </c>
      <c r="E22" s="56" t="s">
        <v>186</v>
      </c>
      <c r="F22" s="158" t="s">
        <v>342</v>
      </c>
      <c r="G22" s="51">
        <v>700</v>
      </c>
      <c r="H22" s="51">
        <v>700</v>
      </c>
      <c r="I22" s="51">
        <v>525</v>
      </c>
      <c r="J22" s="51">
        <v>350</v>
      </c>
      <c r="K22" s="51">
        <v>350</v>
      </c>
      <c r="L22" s="51">
        <v>350</v>
      </c>
      <c r="M22" s="51">
        <v>700</v>
      </c>
      <c r="N22" s="51">
        <v>700</v>
      </c>
      <c r="O22" s="51">
        <v>700</v>
      </c>
      <c r="P22" s="51">
        <v>700</v>
      </c>
      <c r="Q22" s="51">
        <v>700</v>
      </c>
      <c r="R22" s="51">
        <v>700</v>
      </c>
    </row>
    <row r="23" spans="3:18" outlineLevel="1" x14ac:dyDescent="0.45">
      <c r="C23" s="214"/>
      <c r="D23" s="5" t="s">
        <v>183</v>
      </c>
      <c r="E23" s="56" t="s">
        <v>186</v>
      </c>
      <c r="F23" s="158" t="s">
        <v>342</v>
      </c>
      <c r="G23" s="51">
        <v>2000</v>
      </c>
      <c r="H23" s="51">
        <v>2000</v>
      </c>
      <c r="I23" s="51">
        <v>1050</v>
      </c>
      <c r="J23" s="51">
        <v>1400</v>
      </c>
      <c r="K23" s="51">
        <v>1400</v>
      </c>
      <c r="L23" s="51">
        <v>1400</v>
      </c>
      <c r="M23" s="51">
        <v>1400</v>
      </c>
      <c r="N23" s="51">
        <v>1400</v>
      </c>
      <c r="O23" s="51">
        <v>1400</v>
      </c>
      <c r="P23" s="51">
        <v>2000</v>
      </c>
      <c r="Q23" s="51">
        <v>2000</v>
      </c>
      <c r="R23" s="51">
        <v>2000</v>
      </c>
    </row>
    <row r="24" spans="3:18" outlineLevel="1" x14ac:dyDescent="0.45">
      <c r="C24" s="214"/>
      <c r="D24" s="5" t="s">
        <v>184</v>
      </c>
      <c r="E24" s="56" t="s">
        <v>186</v>
      </c>
      <c r="F24" s="158" t="s">
        <v>342</v>
      </c>
      <c r="G24" s="51"/>
      <c r="H24" s="51"/>
      <c r="I24" s="51"/>
      <c r="J24" s="51"/>
      <c r="K24" s="51"/>
      <c r="L24" s="51"/>
      <c r="M24" s="51"/>
      <c r="N24" s="51"/>
      <c r="O24" s="51"/>
      <c r="P24" s="51"/>
      <c r="Q24" s="51"/>
      <c r="R24" s="51"/>
    </row>
    <row r="25" spans="3:18" outlineLevel="1" x14ac:dyDescent="0.45">
      <c r="C25" s="214"/>
      <c r="D25" s="5" t="s">
        <v>185</v>
      </c>
      <c r="E25" s="56" t="s">
        <v>186</v>
      </c>
      <c r="F25" s="158" t="s">
        <v>342</v>
      </c>
      <c r="G25" s="51"/>
      <c r="H25" s="51"/>
      <c r="I25" s="51"/>
      <c r="J25" s="51"/>
      <c r="K25" s="51"/>
      <c r="L25" s="51"/>
      <c r="M25" s="51"/>
      <c r="N25" s="51"/>
      <c r="O25" s="51"/>
      <c r="P25" s="51"/>
      <c r="Q25" s="51"/>
      <c r="R25" s="51"/>
    </row>
    <row r="26" spans="3:18" outlineLevel="1" x14ac:dyDescent="0.45">
      <c r="C26" s="214"/>
      <c r="D26" s="2"/>
      <c r="E26" s="56"/>
      <c r="F26" s="158"/>
      <c r="G26" s="113"/>
      <c r="H26" s="113"/>
      <c r="I26" s="113"/>
      <c r="J26" s="113"/>
      <c r="K26" s="113"/>
      <c r="L26" s="113"/>
      <c r="M26" s="113"/>
      <c r="N26" s="113"/>
      <c r="O26" s="113"/>
      <c r="P26" s="113"/>
      <c r="Q26" s="113"/>
      <c r="R26" s="113"/>
    </row>
    <row r="27" spans="3:18" outlineLevel="1" x14ac:dyDescent="0.45">
      <c r="C27" s="214"/>
      <c r="D27" s="2" t="s">
        <v>270</v>
      </c>
      <c r="E27" s="56"/>
      <c r="F27" s="158"/>
      <c r="G27" s="113"/>
      <c r="H27" s="113"/>
      <c r="I27" s="113"/>
      <c r="J27" s="113"/>
      <c r="K27" s="113"/>
      <c r="L27" s="113"/>
      <c r="M27" s="113"/>
      <c r="N27" s="113"/>
      <c r="O27" s="113"/>
      <c r="P27" s="113"/>
      <c r="Q27" s="113"/>
      <c r="R27" s="113"/>
    </row>
    <row r="28" spans="3:18" outlineLevel="1" x14ac:dyDescent="0.45">
      <c r="C28" s="214"/>
      <c r="D28" s="5" t="s">
        <v>179</v>
      </c>
      <c r="E28" s="56" t="s">
        <v>186</v>
      </c>
      <c r="F28" s="158" t="s">
        <v>187</v>
      </c>
      <c r="G28" s="51"/>
      <c r="H28" s="51"/>
      <c r="I28" s="76">
        <v>550</v>
      </c>
      <c r="J28" s="51"/>
      <c r="K28" s="51"/>
      <c r="L28" s="51"/>
      <c r="M28" s="51"/>
      <c r="N28" s="76">
        <v>900</v>
      </c>
      <c r="O28" s="51"/>
      <c r="P28" s="51"/>
      <c r="Q28" s="51"/>
      <c r="R28" s="51"/>
    </row>
    <row r="29" spans="3:18" outlineLevel="1" x14ac:dyDescent="0.45">
      <c r="C29" s="214"/>
      <c r="D29" s="5" t="s">
        <v>180</v>
      </c>
      <c r="E29" s="56" t="s">
        <v>186</v>
      </c>
      <c r="F29" s="158" t="s">
        <v>187</v>
      </c>
      <c r="G29" s="51"/>
      <c r="H29" s="51"/>
      <c r="I29" s="76">
        <v>550</v>
      </c>
      <c r="J29" s="51"/>
      <c r="K29" s="51"/>
      <c r="L29" s="51"/>
      <c r="M29" s="51"/>
      <c r="N29" s="76">
        <v>900</v>
      </c>
      <c r="O29" s="51"/>
      <c r="P29" s="51"/>
      <c r="Q29" s="51"/>
      <c r="R29" s="51"/>
    </row>
    <row r="30" spans="3:18" outlineLevel="1" x14ac:dyDescent="0.45">
      <c r="C30" s="214"/>
      <c r="D30" s="5" t="s">
        <v>181</v>
      </c>
      <c r="E30" s="56" t="s">
        <v>186</v>
      </c>
      <c r="F30" s="158" t="s">
        <v>187</v>
      </c>
      <c r="G30" s="51"/>
      <c r="H30" s="51"/>
      <c r="I30" s="51"/>
      <c r="J30" s="51"/>
      <c r="K30" s="51"/>
      <c r="L30" s="51"/>
      <c r="M30" s="51"/>
      <c r="N30" s="51"/>
      <c r="O30" s="51"/>
      <c r="P30" s="51"/>
      <c r="Q30" s="51"/>
      <c r="R30" s="51"/>
    </row>
    <row r="31" spans="3:18" outlineLevel="1" x14ac:dyDescent="0.45">
      <c r="C31" s="214"/>
      <c r="D31" s="5" t="s">
        <v>182</v>
      </c>
      <c r="E31" s="56" t="s">
        <v>186</v>
      </c>
      <c r="F31" s="158" t="s">
        <v>187</v>
      </c>
      <c r="G31" s="51"/>
      <c r="H31" s="51"/>
      <c r="I31" s="51"/>
      <c r="J31" s="51"/>
      <c r="K31" s="51"/>
      <c r="L31" s="51"/>
      <c r="M31" s="51"/>
      <c r="N31" s="51"/>
      <c r="O31" s="51"/>
      <c r="P31" s="51"/>
      <c r="Q31" s="51"/>
      <c r="R31" s="51"/>
    </row>
    <row r="32" spans="3:18" outlineLevel="1" x14ac:dyDescent="0.45">
      <c r="C32" s="214"/>
      <c r="D32" s="5" t="s">
        <v>183</v>
      </c>
      <c r="E32" s="56" t="s">
        <v>186</v>
      </c>
      <c r="F32" s="158" t="s">
        <v>187</v>
      </c>
      <c r="G32" s="51"/>
      <c r="H32" s="51"/>
      <c r="I32" s="51"/>
      <c r="J32" s="51"/>
      <c r="K32" s="51"/>
      <c r="L32" s="51"/>
      <c r="M32" s="51"/>
      <c r="N32" s="51"/>
      <c r="O32" s="51"/>
      <c r="P32" s="51"/>
      <c r="Q32" s="51"/>
      <c r="R32" s="51"/>
    </row>
    <row r="33" spans="3:18" outlineLevel="1" x14ac:dyDescent="0.45">
      <c r="C33" s="214"/>
      <c r="D33" s="5" t="s">
        <v>184</v>
      </c>
      <c r="E33" s="56" t="s">
        <v>186</v>
      </c>
      <c r="F33" s="158" t="s">
        <v>187</v>
      </c>
      <c r="G33" s="51"/>
      <c r="H33" s="51"/>
      <c r="I33" s="51"/>
      <c r="J33" s="51"/>
      <c r="K33" s="51"/>
      <c r="L33" s="51"/>
      <c r="M33" s="51"/>
      <c r="N33" s="51"/>
      <c r="O33" s="51"/>
      <c r="P33" s="51"/>
      <c r="Q33" s="51"/>
      <c r="R33" s="51"/>
    </row>
    <row r="34" spans="3:18" outlineLevel="1" x14ac:dyDescent="0.45">
      <c r="C34" s="214"/>
      <c r="D34" s="5" t="s">
        <v>185</v>
      </c>
      <c r="E34" s="56" t="s">
        <v>186</v>
      </c>
      <c r="F34" s="158" t="s">
        <v>187</v>
      </c>
      <c r="G34" s="51"/>
      <c r="H34" s="51"/>
      <c r="I34" s="51"/>
      <c r="J34" s="51"/>
      <c r="K34" s="51"/>
      <c r="L34" s="51"/>
      <c r="M34" s="51"/>
      <c r="N34" s="51"/>
      <c r="O34" s="51"/>
      <c r="P34" s="51"/>
      <c r="Q34" s="51"/>
      <c r="R34" s="51"/>
    </row>
    <row r="35" spans="3:18" outlineLevel="1" x14ac:dyDescent="0.45">
      <c r="C35" s="214"/>
      <c r="D35" s="2"/>
      <c r="E35" s="56"/>
      <c r="F35" s="158"/>
      <c r="G35" s="113"/>
      <c r="H35" s="113"/>
      <c r="I35" s="113"/>
      <c r="J35" s="113"/>
      <c r="K35" s="113"/>
      <c r="L35" s="113"/>
      <c r="M35" s="113"/>
      <c r="N35" s="113"/>
      <c r="O35" s="113"/>
      <c r="P35" s="113"/>
      <c r="Q35" s="113"/>
      <c r="R35" s="113"/>
    </row>
    <row r="36" spans="3:18" outlineLevel="1" x14ac:dyDescent="0.45">
      <c r="C36" s="214"/>
      <c r="D36" s="2" t="s">
        <v>333</v>
      </c>
      <c r="E36" s="56"/>
      <c r="F36" s="158"/>
      <c r="G36" s="113"/>
      <c r="H36" s="113"/>
      <c r="I36" s="113"/>
      <c r="J36" s="113"/>
      <c r="K36" s="113"/>
      <c r="L36" s="113"/>
      <c r="M36" s="113"/>
      <c r="N36" s="113"/>
      <c r="O36" s="113"/>
      <c r="P36" s="113"/>
      <c r="Q36" s="113"/>
      <c r="R36" s="113"/>
    </row>
    <row r="37" spans="3:18" outlineLevel="1" x14ac:dyDescent="0.45">
      <c r="C37" s="214"/>
      <c r="D37" s="5" t="s">
        <v>179</v>
      </c>
      <c r="E37" s="56" t="s">
        <v>271</v>
      </c>
      <c r="F37" s="158" t="s">
        <v>333</v>
      </c>
      <c r="G37" s="51">
        <v>1353</v>
      </c>
      <c r="H37" s="51">
        <v>422</v>
      </c>
      <c r="I37" s="51">
        <v>193</v>
      </c>
      <c r="J37" s="51">
        <v>1010</v>
      </c>
      <c r="K37" s="51">
        <v>1967</v>
      </c>
      <c r="L37" s="51">
        <v>1967</v>
      </c>
      <c r="M37" s="51">
        <v>0</v>
      </c>
      <c r="N37" s="51">
        <v>173</v>
      </c>
      <c r="O37" s="51">
        <v>6805</v>
      </c>
      <c r="P37" s="51">
        <v>6140</v>
      </c>
      <c r="Q37" s="51"/>
      <c r="R37" s="51"/>
    </row>
    <row r="38" spans="3:18" outlineLevel="1" x14ac:dyDescent="0.45">
      <c r="C38" s="214"/>
      <c r="D38" s="5" t="s">
        <v>180</v>
      </c>
      <c r="E38" s="56"/>
      <c r="F38" s="158" t="s">
        <v>333</v>
      </c>
      <c r="G38" s="51">
        <v>5</v>
      </c>
      <c r="H38" s="51">
        <v>0</v>
      </c>
      <c r="I38" s="51">
        <v>2</v>
      </c>
      <c r="J38" s="51">
        <v>1</v>
      </c>
      <c r="K38" s="51">
        <v>2</v>
      </c>
      <c r="L38" s="51">
        <v>2</v>
      </c>
      <c r="M38" s="51">
        <v>0</v>
      </c>
      <c r="N38" s="51">
        <v>0</v>
      </c>
      <c r="O38" s="51">
        <v>19</v>
      </c>
      <c r="P38" s="51">
        <v>13</v>
      </c>
      <c r="Q38" s="51"/>
      <c r="R38" s="51"/>
    </row>
    <row r="39" spans="3:18" outlineLevel="1" x14ac:dyDescent="0.45">
      <c r="C39" s="214"/>
      <c r="D39" s="5" t="s">
        <v>181</v>
      </c>
      <c r="E39" s="56"/>
      <c r="F39" s="158" t="s">
        <v>333</v>
      </c>
      <c r="G39" s="51">
        <v>92</v>
      </c>
      <c r="H39" s="51">
        <v>3</v>
      </c>
      <c r="I39" s="51"/>
      <c r="J39" s="51">
        <v>27</v>
      </c>
      <c r="K39" s="51">
        <f t="shared" ref="K39:K41" si="7">L39+M39</f>
        <v>403</v>
      </c>
      <c r="L39" s="51">
        <v>403</v>
      </c>
      <c r="M39" s="51"/>
      <c r="N39" s="51">
        <v>77</v>
      </c>
      <c r="O39" s="51">
        <v>53</v>
      </c>
      <c r="P39" s="51">
        <v>372</v>
      </c>
      <c r="Q39" s="51"/>
      <c r="R39" s="51">
        <v>56</v>
      </c>
    </row>
    <row r="40" spans="3:18" outlineLevel="1" x14ac:dyDescent="0.45">
      <c r="C40" s="214"/>
      <c r="D40" s="5" t="s">
        <v>182</v>
      </c>
      <c r="E40" s="56" t="s">
        <v>362</v>
      </c>
      <c r="F40" s="158" t="s">
        <v>333</v>
      </c>
      <c r="G40" s="51">
        <v>158</v>
      </c>
      <c r="H40" s="51">
        <v>92</v>
      </c>
      <c r="I40" s="51">
        <v>86</v>
      </c>
      <c r="J40" s="51">
        <v>139</v>
      </c>
      <c r="K40" s="51">
        <f t="shared" si="7"/>
        <v>172</v>
      </c>
      <c r="L40" s="51">
        <v>172</v>
      </c>
      <c r="M40" s="51"/>
      <c r="N40" s="51">
        <v>2</v>
      </c>
      <c r="O40" s="51">
        <v>4193</v>
      </c>
      <c r="P40" s="51">
        <v>1464</v>
      </c>
      <c r="Q40" s="51"/>
      <c r="R40" s="51"/>
    </row>
    <row r="41" spans="3:18" outlineLevel="1" x14ac:dyDescent="0.45">
      <c r="C41" s="214"/>
      <c r="D41" s="5" t="s">
        <v>183</v>
      </c>
      <c r="E41" s="56"/>
      <c r="F41" s="158" t="s">
        <v>333</v>
      </c>
      <c r="G41" s="51">
        <v>135</v>
      </c>
      <c r="H41" s="51">
        <v>10</v>
      </c>
      <c r="I41" s="51">
        <v>11</v>
      </c>
      <c r="J41" s="51">
        <v>11</v>
      </c>
      <c r="K41" s="51">
        <f t="shared" si="7"/>
        <v>26</v>
      </c>
      <c r="L41" s="51">
        <v>26</v>
      </c>
      <c r="M41" s="51"/>
      <c r="N41" s="51">
        <v>7</v>
      </c>
      <c r="O41" s="51">
        <v>1375</v>
      </c>
      <c r="P41" s="51">
        <v>589</v>
      </c>
      <c r="Q41" s="283">
        <v>30</v>
      </c>
      <c r="R41" s="51"/>
    </row>
    <row r="42" spans="3:18" outlineLevel="1" x14ac:dyDescent="0.45">
      <c r="C42" s="214"/>
      <c r="D42" s="5" t="s">
        <v>184</v>
      </c>
      <c r="E42" s="56"/>
      <c r="F42" s="158" t="s">
        <v>333</v>
      </c>
      <c r="G42" s="51"/>
      <c r="H42" s="51"/>
      <c r="I42" s="51"/>
      <c r="J42" s="51"/>
      <c r="K42" s="51"/>
      <c r="L42" s="51"/>
      <c r="M42" s="51"/>
      <c r="N42" s="51"/>
      <c r="O42" s="51"/>
      <c r="P42" s="51"/>
      <c r="Q42" s="51"/>
      <c r="R42" s="51"/>
    </row>
    <row r="43" spans="3:18" outlineLevel="1" x14ac:dyDescent="0.45">
      <c r="C43" s="214"/>
      <c r="D43" s="5" t="s">
        <v>185</v>
      </c>
      <c r="E43" s="56"/>
      <c r="F43" s="158" t="s">
        <v>333</v>
      </c>
      <c r="G43" s="51"/>
      <c r="H43" s="51"/>
      <c r="I43" s="51"/>
      <c r="J43" s="51"/>
      <c r="K43" s="51"/>
      <c r="L43" s="51"/>
      <c r="M43" s="51"/>
      <c r="N43" s="51"/>
      <c r="O43" s="51"/>
      <c r="P43" s="51"/>
      <c r="Q43" s="51"/>
      <c r="R43" s="51"/>
    </row>
    <row r="44" spans="3:18" outlineLevel="1" x14ac:dyDescent="0.45">
      <c r="C44" s="214"/>
      <c r="D44" s="5" t="s">
        <v>273</v>
      </c>
      <c r="E44" s="56"/>
      <c r="F44" s="158" t="s">
        <v>333</v>
      </c>
      <c r="G44" s="51"/>
      <c r="H44" s="51"/>
      <c r="I44" s="51"/>
      <c r="J44" s="51"/>
      <c r="K44" s="51"/>
      <c r="L44" s="51"/>
      <c r="M44" s="51"/>
      <c r="N44" s="51"/>
      <c r="O44" s="51"/>
      <c r="P44" s="51"/>
      <c r="Q44" s="51"/>
      <c r="R44" s="51"/>
    </row>
    <row r="45" spans="3:18" outlineLevel="1" x14ac:dyDescent="0.45">
      <c r="C45" s="214"/>
      <c r="D45" s="2"/>
      <c r="E45" s="56"/>
      <c r="F45" s="158"/>
      <c r="G45" s="113"/>
      <c r="H45" s="113"/>
      <c r="I45" s="113"/>
      <c r="J45" s="113"/>
      <c r="K45" s="113"/>
      <c r="L45" s="113"/>
      <c r="M45" s="113"/>
      <c r="N45" s="113"/>
      <c r="O45" s="113"/>
      <c r="P45" s="113"/>
      <c r="Q45" s="113"/>
      <c r="R45" s="113"/>
    </row>
    <row r="46" spans="3:18" outlineLevel="1" x14ac:dyDescent="0.45">
      <c r="C46" s="214"/>
      <c r="D46" s="2" t="s">
        <v>126</v>
      </c>
      <c r="E46" s="56"/>
      <c r="F46" s="158"/>
      <c r="G46" s="113"/>
      <c r="H46" s="113"/>
      <c r="I46" s="113"/>
      <c r="J46" s="113"/>
      <c r="K46" s="113"/>
      <c r="L46" s="113"/>
      <c r="M46" s="113"/>
      <c r="N46" s="113"/>
      <c r="O46" s="113"/>
      <c r="P46" s="113"/>
      <c r="Q46" s="113"/>
      <c r="R46" s="113"/>
    </row>
    <row r="47" spans="3:18" outlineLevel="1" x14ac:dyDescent="0.45">
      <c r="C47" s="214"/>
      <c r="D47" s="5" t="s">
        <v>179</v>
      </c>
      <c r="E47" s="56" t="s">
        <v>339</v>
      </c>
      <c r="F47" s="158" t="s">
        <v>126</v>
      </c>
      <c r="G47" s="51">
        <v>5</v>
      </c>
      <c r="H47" s="51"/>
      <c r="I47" s="51">
        <v>1</v>
      </c>
      <c r="J47" s="51">
        <v>1</v>
      </c>
      <c r="K47" s="51">
        <f t="shared" ref="K47:K51" si="8">L47+M47</f>
        <v>2</v>
      </c>
      <c r="L47" s="51">
        <v>2</v>
      </c>
      <c r="M47" s="51"/>
      <c r="N47" s="51"/>
      <c r="O47" s="51">
        <v>12</v>
      </c>
      <c r="P47" s="51">
        <v>13</v>
      </c>
      <c r="Q47" s="51"/>
      <c r="R47" s="51"/>
    </row>
    <row r="48" spans="3:18" outlineLevel="1" x14ac:dyDescent="0.45">
      <c r="C48" s="214"/>
      <c r="D48" s="5" t="s">
        <v>180</v>
      </c>
      <c r="E48" s="56" t="s">
        <v>339</v>
      </c>
      <c r="F48" s="158" t="s">
        <v>126</v>
      </c>
      <c r="G48" s="51">
        <v>1204</v>
      </c>
      <c r="H48" s="51">
        <v>327</v>
      </c>
      <c r="I48" s="51">
        <v>179</v>
      </c>
      <c r="J48" s="51">
        <v>962</v>
      </c>
      <c r="K48" s="51">
        <f t="shared" si="8"/>
        <v>1627</v>
      </c>
      <c r="L48" s="51">
        <v>1627</v>
      </c>
      <c r="M48" s="51"/>
      <c r="N48" s="51">
        <v>169</v>
      </c>
      <c r="O48" s="51">
        <v>4006</v>
      </c>
      <c r="P48" s="51">
        <v>5556</v>
      </c>
      <c r="Q48" s="51"/>
      <c r="R48" s="51"/>
    </row>
    <row r="49" spans="3:19" outlineLevel="1" x14ac:dyDescent="0.45">
      <c r="C49" s="214"/>
      <c r="D49" s="5" t="s">
        <v>181</v>
      </c>
      <c r="E49" s="56" t="s">
        <v>339</v>
      </c>
      <c r="F49" s="158" t="s">
        <v>126</v>
      </c>
      <c r="G49" s="51">
        <v>16</v>
      </c>
      <c r="H49" s="51">
        <v>3</v>
      </c>
      <c r="I49" s="51"/>
      <c r="J49" s="51">
        <v>25</v>
      </c>
      <c r="K49" s="51">
        <f t="shared" si="8"/>
        <v>269</v>
      </c>
      <c r="L49" s="51">
        <v>269</v>
      </c>
      <c r="M49" s="51"/>
      <c r="N49" s="51">
        <v>73</v>
      </c>
      <c r="O49" s="51">
        <v>45</v>
      </c>
      <c r="P49" s="51">
        <v>183</v>
      </c>
      <c r="Q49" s="51"/>
      <c r="R49" s="51"/>
    </row>
    <row r="50" spans="3:19" outlineLevel="1" x14ac:dyDescent="0.45">
      <c r="C50" s="214"/>
      <c r="D50" s="5" t="s">
        <v>182</v>
      </c>
      <c r="E50" s="56" t="s">
        <v>339</v>
      </c>
      <c r="F50" s="158" t="s">
        <v>126</v>
      </c>
      <c r="G50" s="51">
        <v>127</v>
      </c>
      <c r="H50" s="51">
        <v>49</v>
      </c>
      <c r="I50" s="51">
        <v>26</v>
      </c>
      <c r="J50" s="51">
        <v>40</v>
      </c>
      <c r="K50" s="51">
        <f t="shared" si="8"/>
        <v>131</v>
      </c>
      <c r="L50" s="51">
        <v>131</v>
      </c>
      <c r="M50" s="51"/>
      <c r="N50" s="51">
        <v>2</v>
      </c>
      <c r="O50" s="51">
        <v>1009</v>
      </c>
      <c r="P50" s="51">
        <v>787</v>
      </c>
      <c r="Q50" s="51"/>
      <c r="R50" s="51"/>
    </row>
    <row r="51" spans="3:19" outlineLevel="1" x14ac:dyDescent="0.45">
      <c r="C51" s="214"/>
      <c r="D51" s="5" t="s">
        <v>183</v>
      </c>
      <c r="E51" s="56" t="s">
        <v>339</v>
      </c>
      <c r="F51" s="158" t="s">
        <v>126</v>
      </c>
      <c r="G51" s="51">
        <v>61</v>
      </c>
      <c r="H51" s="51">
        <v>6</v>
      </c>
      <c r="I51" s="51">
        <v>10</v>
      </c>
      <c r="J51" s="51">
        <v>9</v>
      </c>
      <c r="K51" s="51">
        <f t="shared" si="8"/>
        <v>21</v>
      </c>
      <c r="L51" s="51">
        <v>21</v>
      </c>
      <c r="M51" s="51"/>
      <c r="N51" s="51">
        <v>5</v>
      </c>
      <c r="O51" s="51">
        <v>506</v>
      </c>
      <c r="P51" s="51">
        <v>273</v>
      </c>
      <c r="Q51" s="51"/>
      <c r="R51" s="51"/>
    </row>
    <row r="52" spans="3:19" outlineLevel="1" x14ac:dyDescent="0.45">
      <c r="C52" s="214"/>
      <c r="D52" s="5" t="s">
        <v>184</v>
      </c>
      <c r="E52" s="56" t="s">
        <v>339</v>
      </c>
      <c r="F52" s="158" t="s">
        <v>126</v>
      </c>
      <c r="G52" s="51"/>
      <c r="H52" s="51"/>
      <c r="I52" s="51"/>
      <c r="J52" s="51"/>
      <c r="K52" s="51"/>
      <c r="L52" s="51"/>
      <c r="M52" s="51"/>
      <c r="N52" s="51"/>
      <c r="O52" s="51"/>
      <c r="P52" s="51"/>
      <c r="Q52" s="51"/>
      <c r="R52" s="51"/>
    </row>
    <row r="53" spans="3:19" outlineLevel="1" x14ac:dyDescent="0.45">
      <c r="C53" s="214"/>
      <c r="D53" s="5" t="s">
        <v>185</v>
      </c>
      <c r="E53" s="56" t="s">
        <v>339</v>
      </c>
      <c r="F53" s="158" t="s">
        <v>126</v>
      </c>
      <c r="G53" s="51"/>
      <c r="H53" s="51"/>
      <c r="I53" s="51"/>
      <c r="J53" s="51"/>
      <c r="K53" s="51"/>
      <c r="L53" s="51"/>
      <c r="M53" s="51"/>
      <c r="N53" s="51"/>
      <c r="O53" s="51"/>
      <c r="P53" s="51"/>
      <c r="Q53" s="51"/>
      <c r="R53" s="51"/>
    </row>
    <row r="54" spans="3:19" outlineLevel="1" x14ac:dyDescent="0.45">
      <c r="C54" s="214"/>
      <c r="D54" s="5" t="s">
        <v>273</v>
      </c>
      <c r="E54" s="56" t="s">
        <v>339</v>
      </c>
      <c r="F54" s="158" t="s">
        <v>126</v>
      </c>
      <c r="G54" s="51">
        <v>1</v>
      </c>
      <c r="H54" s="51"/>
      <c r="I54" s="51"/>
      <c r="J54" s="51"/>
      <c r="K54" s="51"/>
      <c r="L54" s="51"/>
      <c r="M54" s="51"/>
      <c r="N54" s="51"/>
      <c r="O54" s="51"/>
      <c r="P54" s="51"/>
      <c r="Q54" s="51"/>
      <c r="R54" s="51"/>
    </row>
    <row r="55" spans="3:19" outlineLevel="1" x14ac:dyDescent="0.45">
      <c r="C55" s="214"/>
      <c r="D55" s="2"/>
      <c r="E55" s="56"/>
      <c r="F55" s="158"/>
      <c r="G55" s="113"/>
      <c r="H55" s="113"/>
      <c r="I55" s="113"/>
      <c r="J55" s="113"/>
      <c r="K55" s="113"/>
      <c r="L55" s="113"/>
      <c r="M55" s="113"/>
      <c r="N55" s="113"/>
      <c r="O55" s="113"/>
      <c r="P55" s="113"/>
      <c r="Q55" s="113"/>
      <c r="R55" s="113"/>
    </row>
    <row r="56" spans="3:19" outlineLevel="1" x14ac:dyDescent="0.45">
      <c r="C56" s="214"/>
      <c r="D56" s="2" t="s">
        <v>235</v>
      </c>
      <c r="E56" s="56"/>
      <c r="F56" s="158"/>
      <c r="G56" s="113"/>
      <c r="H56" s="113"/>
      <c r="I56" s="113"/>
      <c r="J56" s="113"/>
      <c r="K56" s="113"/>
      <c r="L56" s="113"/>
      <c r="M56" s="113"/>
      <c r="N56" s="113"/>
      <c r="O56" s="113"/>
      <c r="P56" s="113"/>
      <c r="Q56" s="113"/>
      <c r="R56" s="113"/>
    </row>
    <row r="57" spans="3:19" outlineLevel="1" x14ac:dyDescent="0.45">
      <c r="C57" s="214"/>
      <c r="D57" s="5" t="s">
        <v>179</v>
      </c>
      <c r="E57" s="56" t="s">
        <v>274</v>
      </c>
      <c r="F57" s="158" t="s">
        <v>13</v>
      </c>
      <c r="G57" s="51">
        <f t="shared" ref="G57:P57" si="9">(G37*G19)*365/1000</f>
        <v>493845</v>
      </c>
      <c r="H57" s="51">
        <f t="shared" si="9"/>
        <v>115522.5</v>
      </c>
      <c r="I57" s="51">
        <f t="shared" si="9"/>
        <v>38744.75</v>
      </c>
      <c r="J57" s="51">
        <f t="shared" si="9"/>
        <v>331785</v>
      </c>
      <c r="K57" s="51">
        <f t="shared" ref="K57:K61" si="10">L57+M57</f>
        <v>646159.5</v>
      </c>
      <c r="L57" s="51">
        <f t="shared" si="9"/>
        <v>646159.5</v>
      </c>
      <c r="M57" s="51">
        <f t="shared" si="9"/>
        <v>0</v>
      </c>
      <c r="N57" s="51">
        <f t="shared" si="9"/>
        <v>56830.5</v>
      </c>
      <c r="O57" s="51">
        <f t="shared" si="9"/>
        <v>2235442.5</v>
      </c>
      <c r="P57" s="51">
        <f t="shared" si="9"/>
        <v>2241100</v>
      </c>
      <c r="Q57" s="51">
        <f t="shared" ref="Q57:R57" si="11">(Q37*Q19)*365/1000</f>
        <v>0</v>
      </c>
      <c r="R57" s="51">
        <f t="shared" si="11"/>
        <v>0</v>
      </c>
      <c r="S57" s="87">
        <f>SUM(G57:R57)</f>
        <v>6805589.25</v>
      </c>
    </row>
    <row r="58" spans="3:19" outlineLevel="1" x14ac:dyDescent="0.45">
      <c r="C58" s="214"/>
      <c r="D58" s="5" t="s">
        <v>180</v>
      </c>
      <c r="E58" s="56"/>
      <c r="F58" s="158" t="s">
        <v>13</v>
      </c>
      <c r="G58" s="51">
        <f t="shared" ref="G58:P58" si="12">(G38*G20)*365/1000</f>
        <v>1095</v>
      </c>
      <c r="H58" s="51">
        <f t="shared" si="12"/>
        <v>0</v>
      </c>
      <c r="I58" s="51">
        <f t="shared" si="12"/>
        <v>401.5</v>
      </c>
      <c r="J58" s="51">
        <f t="shared" si="12"/>
        <v>328.5</v>
      </c>
      <c r="K58" s="51">
        <f t="shared" si="10"/>
        <v>657</v>
      </c>
      <c r="L58" s="51">
        <f t="shared" si="12"/>
        <v>657</v>
      </c>
      <c r="M58" s="51">
        <f t="shared" si="12"/>
        <v>0</v>
      </c>
      <c r="N58" s="51">
        <f t="shared" si="12"/>
        <v>0</v>
      </c>
      <c r="O58" s="51">
        <f t="shared" si="12"/>
        <v>4161</v>
      </c>
      <c r="P58" s="51">
        <f t="shared" si="12"/>
        <v>2847</v>
      </c>
      <c r="Q58" s="51">
        <f t="shared" ref="Q58:R58" si="13">(Q38*Q20)*365/1000</f>
        <v>0</v>
      </c>
      <c r="R58" s="51">
        <f t="shared" si="13"/>
        <v>0</v>
      </c>
      <c r="S58" s="87">
        <f t="shared" ref="S58:S65" si="14">SUM(G58:R58)</f>
        <v>10147</v>
      </c>
    </row>
    <row r="59" spans="3:19" outlineLevel="1" x14ac:dyDescent="0.45">
      <c r="C59" s="214"/>
      <c r="D59" s="5" t="s">
        <v>181</v>
      </c>
      <c r="E59" s="56"/>
      <c r="F59" s="158" t="s">
        <v>13</v>
      </c>
      <c r="G59" s="51">
        <f t="shared" ref="G59:P59" si="15">(G39*G21)*365/1000</f>
        <v>67160</v>
      </c>
      <c r="H59" s="51">
        <f t="shared" si="15"/>
        <v>2190</v>
      </c>
      <c r="I59" s="51">
        <f t="shared" si="15"/>
        <v>0</v>
      </c>
      <c r="J59" s="51">
        <f t="shared" si="15"/>
        <v>19710</v>
      </c>
      <c r="K59" s="51">
        <f t="shared" si="10"/>
        <v>294190</v>
      </c>
      <c r="L59" s="51">
        <f t="shared" si="15"/>
        <v>294190</v>
      </c>
      <c r="M59" s="51">
        <f t="shared" si="15"/>
        <v>0</v>
      </c>
      <c r="N59" s="51">
        <f t="shared" si="15"/>
        <v>56210</v>
      </c>
      <c r="O59" s="51">
        <f t="shared" si="15"/>
        <v>38690</v>
      </c>
      <c r="P59" s="51">
        <f t="shared" si="15"/>
        <v>271560</v>
      </c>
      <c r="Q59" s="51">
        <f t="shared" ref="Q59:R59" si="16">(Q39*Q21)*365/1000</f>
        <v>0</v>
      </c>
      <c r="R59" s="51">
        <f t="shared" si="16"/>
        <v>40880</v>
      </c>
      <c r="S59" s="87">
        <f t="shared" si="14"/>
        <v>1084780</v>
      </c>
    </row>
    <row r="60" spans="3:19" outlineLevel="1" x14ac:dyDescent="0.45">
      <c r="C60" s="214"/>
      <c r="D60" s="5" t="s">
        <v>182</v>
      </c>
      <c r="E60" s="56"/>
      <c r="F60" s="158" t="s">
        <v>13</v>
      </c>
      <c r="G60" s="51">
        <f t="shared" ref="G60:P60" si="17">(G40*G22)*365/1000</f>
        <v>40369</v>
      </c>
      <c r="H60" s="51">
        <f t="shared" si="17"/>
        <v>23506</v>
      </c>
      <c r="I60" s="51">
        <f t="shared" si="17"/>
        <v>16479.75</v>
      </c>
      <c r="J60" s="51">
        <f t="shared" si="17"/>
        <v>17757.25</v>
      </c>
      <c r="K60" s="51">
        <f t="shared" si="10"/>
        <v>21973</v>
      </c>
      <c r="L60" s="51">
        <f t="shared" si="17"/>
        <v>21973</v>
      </c>
      <c r="M60" s="51">
        <f t="shared" si="17"/>
        <v>0</v>
      </c>
      <c r="N60" s="51">
        <f t="shared" si="17"/>
        <v>511</v>
      </c>
      <c r="O60" s="51">
        <f t="shared" si="17"/>
        <v>1071311.5</v>
      </c>
      <c r="P60" s="51">
        <f t="shared" si="17"/>
        <v>374052</v>
      </c>
      <c r="Q60" s="51">
        <f t="shared" ref="Q60:R60" si="18">(Q40*Q22)*365/1000</f>
        <v>0</v>
      </c>
      <c r="R60" s="51">
        <f t="shared" si="18"/>
        <v>0</v>
      </c>
      <c r="S60" s="87">
        <f t="shared" si="14"/>
        <v>1587932.5</v>
      </c>
    </row>
    <row r="61" spans="3:19" outlineLevel="1" x14ac:dyDescent="0.45">
      <c r="C61" s="214"/>
      <c r="D61" s="5" t="s">
        <v>183</v>
      </c>
      <c r="E61" s="56"/>
      <c r="F61" s="158" t="s">
        <v>13</v>
      </c>
      <c r="G61" s="51">
        <f t="shared" ref="G61:P61" si="19">(G41*G23)*365/1000</f>
        <v>98550</v>
      </c>
      <c r="H61" s="51">
        <f t="shared" si="19"/>
        <v>7300</v>
      </c>
      <c r="I61" s="51">
        <f t="shared" si="19"/>
        <v>4215.75</v>
      </c>
      <c r="J61" s="51">
        <f t="shared" si="19"/>
        <v>5621</v>
      </c>
      <c r="K61" s="51">
        <f t="shared" si="10"/>
        <v>13286</v>
      </c>
      <c r="L61" s="51">
        <f t="shared" si="19"/>
        <v>13286</v>
      </c>
      <c r="M61" s="51">
        <f t="shared" si="19"/>
        <v>0</v>
      </c>
      <c r="N61" s="51">
        <f t="shared" si="19"/>
        <v>3577</v>
      </c>
      <c r="O61" s="51">
        <f t="shared" si="19"/>
        <v>702625</v>
      </c>
      <c r="P61" s="51">
        <f t="shared" si="19"/>
        <v>429970</v>
      </c>
      <c r="Q61" s="51">
        <f t="shared" ref="Q61:R61" si="20">(Q41*Q23)*365/1000</f>
        <v>21900</v>
      </c>
      <c r="R61" s="51">
        <f t="shared" si="20"/>
        <v>0</v>
      </c>
      <c r="S61" s="87">
        <f t="shared" si="14"/>
        <v>1300330.75</v>
      </c>
    </row>
    <row r="62" spans="3:19" outlineLevel="1" x14ac:dyDescent="0.45">
      <c r="C62" s="214"/>
      <c r="D62" s="5" t="s">
        <v>184</v>
      </c>
      <c r="E62" s="56"/>
      <c r="F62" s="158" t="s">
        <v>13</v>
      </c>
      <c r="G62" s="51">
        <f>'Council Use'!H16</f>
        <v>4745</v>
      </c>
      <c r="H62" s="51">
        <f>'Council Use'!H20</f>
        <v>0</v>
      </c>
      <c r="I62" s="51">
        <f>'Council Use'!H21</f>
        <v>3102.5</v>
      </c>
      <c r="J62" s="51">
        <f>'Council Use'!H19</f>
        <v>1825</v>
      </c>
      <c r="K62" s="51">
        <f>L62+M62</f>
        <v>730</v>
      </c>
      <c r="L62" s="51">
        <f>'Council Use'!H17</f>
        <v>547.5</v>
      </c>
      <c r="M62" s="51">
        <f>'Council Use'!H18</f>
        <v>182.5</v>
      </c>
      <c r="N62" s="51">
        <f>'Council Use'!H22</f>
        <v>182.5</v>
      </c>
      <c r="O62" s="51">
        <f>'Council Use'!H14</f>
        <v>10767.5</v>
      </c>
      <c r="P62" s="51">
        <f>'Council Use'!H15</f>
        <v>3285</v>
      </c>
      <c r="Q62" s="51">
        <f>'Council Use'!I15</f>
        <v>0</v>
      </c>
      <c r="R62" s="51">
        <f>'Council Use'!J15</f>
        <v>0</v>
      </c>
      <c r="S62" s="87">
        <f t="shared" si="14"/>
        <v>25367.5</v>
      </c>
    </row>
    <row r="63" spans="3:19" outlineLevel="1" x14ac:dyDescent="0.45">
      <c r="C63" s="214"/>
      <c r="D63" s="5" t="s">
        <v>185</v>
      </c>
      <c r="E63" s="56"/>
      <c r="F63" s="158" t="s">
        <v>13</v>
      </c>
      <c r="G63" s="51">
        <f>'Council Use'!H30</f>
        <v>6516</v>
      </c>
      <c r="H63" s="51">
        <f>'Council Use'!H34</f>
        <v>648</v>
      </c>
      <c r="I63" s="51">
        <f>'Council Use'!H35</f>
        <v>972.00000000000011</v>
      </c>
      <c r="J63" s="51">
        <f>'Council Use'!H33</f>
        <v>3240</v>
      </c>
      <c r="K63" s="51">
        <f>L63+M63</f>
        <v>3240</v>
      </c>
      <c r="L63" s="51">
        <f>'Council Use'!H31</f>
        <v>972.00000000000011</v>
      </c>
      <c r="M63" s="51">
        <f>'Council Use'!H32</f>
        <v>2268</v>
      </c>
      <c r="N63" s="51">
        <f>'Council Use'!H36</f>
        <v>324</v>
      </c>
      <c r="O63" s="51">
        <f>'Council Use'!H28</f>
        <v>21528</v>
      </c>
      <c r="P63" s="51">
        <f>'Council Use'!H29</f>
        <v>19872</v>
      </c>
      <c r="Q63" s="51">
        <f>'Council Use'!I29</f>
        <v>0</v>
      </c>
      <c r="R63" s="51">
        <f>'Council Use'!J29</f>
        <v>0</v>
      </c>
      <c r="S63" s="87">
        <f t="shared" si="14"/>
        <v>59580</v>
      </c>
    </row>
    <row r="64" spans="3:19" outlineLevel="1" x14ac:dyDescent="0.45">
      <c r="C64" s="214"/>
      <c r="D64" s="5" t="s">
        <v>345</v>
      </c>
      <c r="E64" s="56"/>
      <c r="F64" s="158"/>
      <c r="G64" s="51"/>
      <c r="H64" s="51"/>
      <c r="I64" s="51"/>
      <c r="J64" s="51"/>
      <c r="K64" s="51"/>
      <c r="L64" s="51"/>
      <c r="M64" s="51"/>
      <c r="N64" s="51"/>
      <c r="O64" s="51"/>
      <c r="P64" s="51"/>
      <c r="Q64" s="51"/>
      <c r="R64" s="51"/>
      <c r="S64" s="87">
        <f t="shared" si="14"/>
        <v>0</v>
      </c>
    </row>
    <row r="65" spans="3:19" outlineLevel="1" x14ac:dyDescent="0.45">
      <c r="C65" s="214"/>
      <c r="D65" s="5"/>
      <c r="E65" s="56"/>
      <c r="F65" s="158"/>
      <c r="G65" s="51"/>
      <c r="H65" s="51"/>
      <c r="I65" s="51"/>
      <c r="J65" s="51"/>
      <c r="K65" s="51"/>
      <c r="L65" s="51"/>
      <c r="M65" s="51"/>
      <c r="N65" s="51"/>
      <c r="O65" s="51"/>
      <c r="P65" s="51"/>
      <c r="Q65" s="51"/>
      <c r="R65" s="51"/>
      <c r="S65" s="87">
        <f t="shared" si="14"/>
        <v>0</v>
      </c>
    </row>
    <row r="66" spans="3:19" outlineLevel="1" x14ac:dyDescent="0.45">
      <c r="C66" s="214"/>
      <c r="D66" s="2"/>
      <c r="E66" s="56"/>
      <c r="F66" s="158"/>
      <c r="G66" s="152">
        <f t="shared" ref="G66:P66" si="21">SUM(G57:G65)</f>
        <v>712280</v>
      </c>
      <c r="H66" s="152">
        <f t="shared" si="21"/>
        <v>149166.5</v>
      </c>
      <c r="I66" s="152">
        <f t="shared" si="21"/>
        <v>63916.25</v>
      </c>
      <c r="J66" s="152">
        <f t="shared" si="21"/>
        <v>380266.75</v>
      </c>
      <c r="K66" s="152">
        <f t="shared" si="21"/>
        <v>980235.5</v>
      </c>
      <c r="L66" s="152">
        <f t="shared" si="21"/>
        <v>977785</v>
      </c>
      <c r="M66" s="152">
        <f t="shared" si="21"/>
        <v>2450.5</v>
      </c>
      <c r="N66" s="152">
        <f t="shared" si="21"/>
        <v>117635</v>
      </c>
      <c r="O66" s="152">
        <f t="shared" si="21"/>
        <v>4084525.5</v>
      </c>
      <c r="P66" s="152">
        <f t="shared" si="21"/>
        <v>3342686</v>
      </c>
      <c r="Q66" s="152">
        <f t="shared" ref="Q66:S66" si="22">SUM(Q57:Q65)</f>
        <v>21900</v>
      </c>
      <c r="R66" s="152">
        <f t="shared" si="22"/>
        <v>40880</v>
      </c>
      <c r="S66" s="152">
        <f t="shared" si="22"/>
        <v>10873727</v>
      </c>
    </row>
    <row r="67" spans="3:19" outlineLevel="1" x14ac:dyDescent="0.45">
      <c r="C67" s="214"/>
      <c r="D67" s="2"/>
      <c r="E67" s="56"/>
      <c r="F67" s="158"/>
      <c r="G67" s="113"/>
      <c r="H67" s="113"/>
      <c r="I67" s="113"/>
      <c r="J67" s="113"/>
      <c r="K67" s="113"/>
      <c r="L67" s="113"/>
      <c r="M67" s="113"/>
      <c r="N67" s="113"/>
      <c r="O67" s="113"/>
      <c r="P67" s="113"/>
      <c r="Q67" s="113"/>
      <c r="R67" s="113"/>
    </row>
    <row r="68" spans="3:19" outlineLevel="1" x14ac:dyDescent="0.45">
      <c r="C68" s="214"/>
      <c r="D68" s="5" t="s">
        <v>25</v>
      </c>
      <c r="E68" s="56" t="s">
        <v>128</v>
      </c>
      <c r="F68" s="158" t="s">
        <v>333</v>
      </c>
      <c r="G68" s="51">
        <f>SUM(G37:G38)</f>
        <v>1358</v>
      </c>
      <c r="H68" s="51">
        <f t="shared" ref="H68:P68" si="23">SUM(H37:H38)</f>
        <v>422</v>
      </c>
      <c r="I68" s="51">
        <f t="shared" si="23"/>
        <v>195</v>
      </c>
      <c r="J68" s="51">
        <f t="shared" si="23"/>
        <v>1011</v>
      </c>
      <c r="K68" s="51">
        <f t="shared" si="23"/>
        <v>1969</v>
      </c>
      <c r="L68" s="51">
        <f t="shared" si="23"/>
        <v>1969</v>
      </c>
      <c r="M68" s="51">
        <f t="shared" si="23"/>
        <v>0</v>
      </c>
      <c r="N68" s="51">
        <f t="shared" si="23"/>
        <v>173</v>
      </c>
      <c r="O68" s="51">
        <f t="shared" si="23"/>
        <v>6824</v>
      </c>
      <c r="P68" s="51">
        <f t="shared" si="23"/>
        <v>6153</v>
      </c>
      <c r="Q68" s="51">
        <f t="shared" ref="Q68:R68" si="24">SUM(Q37:Q38)</f>
        <v>0</v>
      </c>
      <c r="R68" s="51">
        <f t="shared" si="24"/>
        <v>0</v>
      </c>
      <c r="S68" s="87">
        <f t="shared" ref="S68:S74" si="25">SUM(G68:R68)</f>
        <v>20074</v>
      </c>
    </row>
    <row r="69" spans="3:19" outlineLevel="1" x14ac:dyDescent="0.45">
      <c r="C69" s="214"/>
      <c r="D69" s="5" t="s">
        <v>26</v>
      </c>
      <c r="E69" s="56" t="s">
        <v>22</v>
      </c>
      <c r="F69" s="158" t="s">
        <v>333</v>
      </c>
      <c r="G69" s="51">
        <f>SUM(G39:G44)</f>
        <v>385</v>
      </c>
      <c r="H69" s="51">
        <f t="shared" ref="H69:P69" si="26">SUM(H39:H44)</f>
        <v>105</v>
      </c>
      <c r="I69" s="51">
        <f t="shared" si="26"/>
        <v>97</v>
      </c>
      <c r="J69" s="51">
        <f t="shared" si="26"/>
        <v>177</v>
      </c>
      <c r="K69" s="51">
        <f t="shared" si="26"/>
        <v>601</v>
      </c>
      <c r="L69" s="51">
        <f t="shared" si="26"/>
        <v>601</v>
      </c>
      <c r="M69" s="51">
        <f t="shared" si="26"/>
        <v>0</v>
      </c>
      <c r="N69" s="51">
        <f t="shared" si="26"/>
        <v>86</v>
      </c>
      <c r="O69" s="51">
        <f t="shared" si="26"/>
        <v>5621</v>
      </c>
      <c r="P69" s="51">
        <f t="shared" si="26"/>
        <v>2425</v>
      </c>
      <c r="Q69" s="51">
        <f t="shared" ref="Q69:R69" si="27">SUM(Q39:Q44)</f>
        <v>30</v>
      </c>
      <c r="R69" s="51">
        <f t="shared" si="27"/>
        <v>56</v>
      </c>
      <c r="S69" s="87">
        <f t="shared" si="25"/>
        <v>10184</v>
      </c>
    </row>
    <row r="70" spans="3:19" outlineLevel="1" x14ac:dyDescent="0.45">
      <c r="C70" s="214"/>
      <c r="D70" s="5" t="s">
        <v>60</v>
      </c>
      <c r="E70" s="56"/>
      <c r="F70" s="158" t="s">
        <v>23</v>
      </c>
      <c r="G70" s="51">
        <f>+G54</f>
        <v>1</v>
      </c>
      <c r="H70" s="51"/>
      <c r="I70" s="51"/>
      <c r="J70" s="51"/>
      <c r="K70" s="51"/>
      <c r="L70" s="51"/>
      <c r="M70" s="51"/>
      <c r="N70" s="51"/>
      <c r="O70" s="51"/>
      <c r="P70" s="51"/>
      <c r="Q70" s="51"/>
      <c r="R70" s="51"/>
      <c r="S70" s="87">
        <f t="shared" si="25"/>
        <v>1</v>
      </c>
    </row>
    <row r="71" spans="3:19" outlineLevel="1" x14ac:dyDescent="0.45">
      <c r="C71" s="214"/>
      <c r="D71" s="5" t="s">
        <v>21</v>
      </c>
      <c r="E71" s="56"/>
      <c r="F71" s="158" t="s">
        <v>23</v>
      </c>
      <c r="G71" s="51"/>
      <c r="H71" s="51"/>
      <c r="I71" s="51"/>
      <c r="J71" s="51"/>
      <c r="K71" s="51"/>
      <c r="L71" s="51"/>
      <c r="M71" s="51"/>
      <c r="N71" s="51"/>
      <c r="O71" s="51"/>
      <c r="P71" s="51"/>
      <c r="Q71" s="51"/>
      <c r="R71" s="51"/>
      <c r="S71" s="87">
        <f t="shared" si="25"/>
        <v>0</v>
      </c>
    </row>
    <row r="72" spans="3:19" outlineLevel="1" x14ac:dyDescent="0.45">
      <c r="C72" s="214"/>
      <c r="D72" s="5" t="s">
        <v>24</v>
      </c>
      <c r="E72" s="56"/>
      <c r="F72" s="158" t="s">
        <v>23</v>
      </c>
      <c r="G72" s="51"/>
      <c r="H72" s="51"/>
      <c r="I72" s="51"/>
      <c r="J72" s="51"/>
      <c r="K72" s="51"/>
      <c r="L72" s="51"/>
      <c r="M72" s="51"/>
      <c r="N72" s="51"/>
      <c r="O72" s="51"/>
      <c r="P72" s="51"/>
      <c r="Q72" s="51"/>
      <c r="R72" s="51"/>
      <c r="S72" s="87">
        <f t="shared" si="25"/>
        <v>0</v>
      </c>
    </row>
    <row r="73" spans="3:19" outlineLevel="1" x14ac:dyDescent="0.45">
      <c r="C73" s="214"/>
      <c r="D73" s="5" t="s">
        <v>27</v>
      </c>
      <c r="E73" s="56"/>
      <c r="F73" s="158" t="s">
        <v>333</v>
      </c>
      <c r="G73" s="51">
        <f>SUM(G68:G72)-G70</f>
        <v>1743</v>
      </c>
      <c r="H73" s="51">
        <f t="shared" ref="H73:P73" si="28">SUM(H68:H72)</f>
        <v>527</v>
      </c>
      <c r="I73" s="51">
        <f t="shared" si="28"/>
        <v>292</v>
      </c>
      <c r="J73" s="51">
        <f t="shared" si="28"/>
        <v>1188</v>
      </c>
      <c r="K73" s="51">
        <f t="shared" si="28"/>
        <v>2570</v>
      </c>
      <c r="L73" s="51">
        <f t="shared" si="28"/>
        <v>2570</v>
      </c>
      <c r="M73" s="51">
        <f t="shared" si="28"/>
        <v>0</v>
      </c>
      <c r="N73" s="51">
        <f t="shared" si="28"/>
        <v>259</v>
      </c>
      <c r="O73" s="51">
        <f t="shared" si="28"/>
        <v>12445</v>
      </c>
      <c r="P73" s="51">
        <f t="shared" si="28"/>
        <v>8578</v>
      </c>
      <c r="Q73" s="51">
        <f t="shared" ref="Q73:R73" si="29">SUM(Q68:Q72)</f>
        <v>30</v>
      </c>
      <c r="R73" s="51">
        <f t="shared" si="29"/>
        <v>56</v>
      </c>
      <c r="S73" s="87">
        <f t="shared" si="25"/>
        <v>30258</v>
      </c>
    </row>
    <row r="74" spans="3:19" outlineLevel="1" x14ac:dyDescent="0.45">
      <c r="C74" s="214"/>
      <c r="D74" s="5" t="s">
        <v>28</v>
      </c>
      <c r="E74" s="56"/>
      <c r="F74" s="158" t="s">
        <v>29</v>
      </c>
      <c r="G74" s="51">
        <f>'Pipes and Pressure'!E19</f>
        <v>40.761800999999998</v>
      </c>
      <c r="H74" s="51">
        <f>'Pipes and Pressure'!C20</f>
        <v>10.396429999999999</v>
      </c>
      <c r="I74" s="51">
        <f>'Pipes and Pressure'!C21</f>
        <v>12.40053</v>
      </c>
      <c r="J74" s="51">
        <f>'[2]Pipe lengths and pressure'!$J$8</f>
        <v>34.414999999999999</v>
      </c>
      <c r="K74" s="51">
        <f>SUM(L74:M74)</f>
        <v>84.191000000000003</v>
      </c>
      <c r="L74" s="51">
        <f>'[3]Pipe lengths and pressure'!$J$10</f>
        <v>61.459429999999998</v>
      </c>
      <c r="M74" s="51">
        <f>'[4]Pipe lengths and pressure'!$J$11</f>
        <v>22.731570000000001</v>
      </c>
      <c r="N74" s="51">
        <f>'[5]Pipe lengths and pressure'!$J$12</f>
        <v>9.2370000000000001</v>
      </c>
      <c r="O74" s="51">
        <f>'[6]Pipe lengths and pressure'!$J$13</f>
        <v>204.601</v>
      </c>
      <c r="P74" s="51">
        <f>'[7]Pipe lengths and pressure'!$J$14</f>
        <v>258.13799999999998</v>
      </c>
      <c r="Q74" s="51">
        <v>50</v>
      </c>
      <c r="R74" s="51">
        <v>50</v>
      </c>
      <c r="S74" s="87">
        <f t="shared" si="25"/>
        <v>838.33176099999991</v>
      </c>
    </row>
    <row r="75" spans="3:19" outlineLevel="1" x14ac:dyDescent="0.45">
      <c r="C75" s="214"/>
      <c r="D75" s="5" t="s">
        <v>30</v>
      </c>
      <c r="E75" s="56"/>
      <c r="F75" s="158" t="s">
        <v>31</v>
      </c>
      <c r="G75" s="152">
        <f>IFERROR(G73/G74,0)</f>
        <v>42.76062286845471</v>
      </c>
      <c r="H75" s="152">
        <f>IFERROR(H73/H74,0)</f>
        <v>50.690477404262815</v>
      </c>
      <c r="I75" s="152">
        <f t="shared" ref="I75:L75" si="30">IFERROR(I73/I74,0)</f>
        <v>23.54738063615023</v>
      </c>
      <c r="J75" s="152">
        <f t="shared" ref="J75:K75" si="31">IFERROR(J73/J74,0)</f>
        <v>34.519831468836266</v>
      </c>
      <c r="K75" s="152">
        <f t="shared" si="31"/>
        <v>30.525828176408403</v>
      </c>
      <c r="L75" s="152">
        <f t="shared" si="30"/>
        <v>41.81620298138138</v>
      </c>
      <c r="M75" s="152">
        <f>IFERROR(M73/M74,0)</f>
        <v>0</v>
      </c>
      <c r="N75" s="152">
        <f t="shared" ref="N75" si="32">IFERROR(N73/N74,0)</f>
        <v>28.039406733788027</v>
      </c>
      <c r="O75" s="152">
        <f t="shared" ref="O75:P75" si="33">IFERROR(O73/O74,0)</f>
        <v>60.825704664200074</v>
      </c>
      <c r="P75" s="152">
        <f t="shared" si="33"/>
        <v>33.230287675584378</v>
      </c>
      <c r="Q75" s="152">
        <f t="shared" ref="Q75:R75" si="34">IFERROR(Q73/Q74,0)</f>
        <v>0.6</v>
      </c>
      <c r="R75" s="152">
        <f t="shared" si="34"/>
        <v>1.1200000000000001</v>
      </c>
      <c r="S75" s="152">
        <f t="shared" ref="S75" si="35">IFERROR(S73/S74,0)</f>
        <v>36.093109443816005</v>
      </c>
    </row>
    <row r="76" spans="3:19" outlineLevel="1" x14ac:dyDescent="0.45">
      <c r="C76" s="214"/>
      <c r="D76" s="5" t="s">
        <v>32</v>
      </c>
      <c r="E76" s="56" t="s">
        <v>127</v>
      </c>
      <c r="F76" s="158"/>
      <c r="G76" s="152">
        <f>'Pipes and Pressure'!$L$5</f>
        <v>58</v>
      </c>
      <c r="H76" s="152">
        <f>'Pipes and Pressure'!$L$6</f>
        <v>82</v>
      </c>
      <c r="I76" s="152">
        <f>'Pipes and Pressure'!$L$7</f>
        <v>40</v>
      </c>
      <c r="J76" s="152">
        <f>'Pipes and Pressure'!$L$8</f>
        <v>76</v>
      </c>
      <c r="K76" s="152">
        <f>'Pipes and Pressure'!$L$9</f>
        <v>58</v>
      </c>
      <c r="L76" s="152">
        <f>'Pipes and Pressure'!$L$9</f>
        <v>58</v>
      </c>
      <c r="M76" s="152">
        <f>'Pipes and Pressure'!$L$9</f>
        <v>58</v>
      </c>
      <c r="N76" s="152">
        <f>'Pipes and Pressure'!$L$12</f>
        <v>67</v>
      </c>
      <c r="O76" s="152">
        <f>'Pipes and Pressure'!$L$13</f>
        <v>67</v>
      </c>
      <c r="P76" s="152">
        <f>'Pipes and Pressure'!$L$14</f>
        <v>58</v>
      </c>
      <c r="Q76" s="152">
        <f>'Pipes and Pressure'!$L$14</f>
        <v>58</v>
      </c>
      <c r="R76" s="152">
        <f>'Pipes and Pressure'!$L$14</f>
        <v>58</v>
      </c>
      <c r="S76" s="152">
        <v>58</v>
      </c>
    </row>
    <row r="77" spans="3:19" outlineLevel="1" x14ac:dyDescent="0.45">
      <c r="C77" s="214"/>
      <c r="D77" s="59" t="s">
        <v>33</v>
      </c>
      <c r="E77" s="56" t="s">
        <v>130</v>
      </c>
      <c r="F77" s="158"/>
      <c r="G77" s="157">
        <f>G74*20+G73</f>
        <v>2558.2360199999998</v>
      </c>
      <c r="H77" s="157">
        <f>H74*20+H73</f>
        <v>734.92859999999996</v>
      </c>
      <c r="I77" s="157">
        <f t="shared" ref="I77:L77" si="36">I74*20+I73</f>
        <v>540.01060000000007</v>
      </c>
      <c r="J77" s="157">
        <f t="shared" ref="J77:K77" si="37">J74*20+J73</f>
        <v>1876.3</v>
      </c>
      <c r="K77" s="157">
        <f t="shared" si="37"/>
        <v>4253.82</v>
      </c>
      <c r="L77" s="157">
        <f t="shared" si="36"/>
        <v>3799.1886</v>
      </c>
      <c r="M77" s="157">
        <f>M74*20+M73</f>
        <v>454.63140000000004</v>
      </c>
      <c r="N77" s="157">
        <f t="shared" ref="N77" si="38">N74*20+N73</f>
        <v>443.74</v>
      </c>
      <c r="O77" s="157">
        <f t="shared" ref="O77:P77" si="39">O74*20+O73</f>
        <v>16537.02</v>
      </c>
      <c r="P77" s="157">
        <f t="shared" si="39"/>
        <v>13740.759999999998</v>
      </c>
      <c r="Q77" s="157">
        <f t="shared" ref="Q77:R77" si="40">Q74*20+Q73</f>
        <v>1030</v>
      </c>
      <c r="R77" s="157">
        <f t="shared" si="40"/>
        <v>1056</v>
      </c>
      <c r="S77" s="157">
        <f t="shared" ref="S77" si="41">S74*20+S73</f>
        <v>47024.635219999996</v>
      </c>
    </row>
    <row r="78" spans="3:19" ht="14.65" outlineLevel="1" thickBot="1" x14ac:dyDescent="0.5">
      <c r="C78" s="215"/>
      <c r="D78" s="5"/>
      <c r="E78" s="116"/>
      <c r="F78" s="116"/>
      <c r="G78" s="113"/>
      <c r="H78" s="113"/>
      <c r="I78" s="113"/>
      <c r="J78" s="113"/>
      <c r="K78" s="113"/>
      <c r="L78" s="113"/>
      <c r="M78" s="113"/>
      <c r="N78" s="113"/>
      <c r="O78" s="113"/>
      <c r="P78" s="113"/>
      <c r="Q78" s="113"/>
      <c r="R78" s="113"/>
    </row>
    <row r="79" spans="3:19" outlineLevel="1" x14ac:dyDescent="0.45">
      <c r="D79" s="5"/>
      <c r="E79" s="116"/>
      <c r="F79" s="113"/>
      <c r="G79" s="113"/>
      <c r="H79" s="113"/>
      <c r="I79" s="113"/>
      <c r="J79" s="113"/>
      <c r="K79" s="113"/>
      <c r="L79" s="113"/>
      <c r="M79" s="113"/>
      <c r="N79" s="113"/>
      <c r="O79" s="113"/>
      <c r="P79" s="113"/>
      <c r="Q79" s="113"/>
      <c r="R79" s="113"/>
    </row>
    <row r="80" spans="3:19" outlineLevel="1" x14ac:dyDescent="0.45">
      <c r="E80" s="116"/>
      <c r="F80" s="113"/>
      <c r="G80" s="113"/>
      <c r="H80" s="113"/>
      <c r="I80" s="113"/>
      <c r="J80" s="113"/>
      <c r="K80" s="113"/>
      <c r="L80" s="113"/>
      <c r="M80" s="113"/>
      <c r="N80" s="113"/>
      <c r="O80" s="113"/>
      <c r="P80" s="113"/>
      <c r="Q80" s="113"/>
      <c r="R80" s="113"/>
    </row>
    <row r="81" spans="3:19" ht="14.65" thickBot="1" x14ac:dyDescent="0.5">
      <c r="E81" s="116" t="s">
        <v>243</v>
      </c>
      <c r="F81" s="113"/>
    </row>
    <row r="82" spans="3:19" ht="14.25" customHeight="1" outlineLevel="1" x14ac:dyDescent="0.45">
      <c r="C82" s="216" t="s">
        <v>72</v>
      </c>
      <c r="D82" s="111" t="s">
        <v>34</v>
      </c>
      <c r="E82" s="117"/>
      <c r="F82" s="117"/>
      <c r="G82" s="117"/>
      <c r="H82" s="117"/>
      <c r="I82" s="117"/>
      <c r="J82" s="117"/>
      <c r="K82" s="117"/>
      <c r="L82" s="117"/>
      <c r="M82" s="117"/>
      <c r="N82" s="117"/>
      <c r="O82" s="117"/>
      <c r="P82" s="117"/>
      <c r="Q82" s="117"/>
      <c r="R82" s="117"/>
    </row>
    <row r="83" spans="3:19" outlineLevel="1" x14ac:dyDescent="0.45">
      <c r="C83" s="217"/>
      <c r="D83" s="5" t="s">
        <v>35</v>
      </c>
      <c r="E83" s="56" t="s">
        <v>224</v>
      </c>
      <c r="F83" s="4" t="s">
        <v>13</v>
      </c>
      <c r="G83" s="51"/>
      <c r="H83" s="51"/>
      <c r="I83" s="51"/>
      <c r="J83" s="51"/>
      <c r="K83" s="51"/>
      <c r="L83" s="51"/>
      <c r="M83" s="51"/>
      <c r="N83" s="51"/>
      <c r="O83" s="51"/>
      <c r="P83" s="51"/>
      <c r="Q83" s="51"/>
      <c r="R83" s="51"/>
      <c r="S83" s="87">
        <f t="shared" ref="S83:S89" si="42">SUM(G83:R83)</f>
        <v>0</v>
      </c>
    </row>
    <row r="84" spans="3:19" outlineLevel="1" x14ac:dyDescent="0.45">
      <c r="C84" s="217"/>
      <c r="D84" s="5" t="s">
        <v>36</v>
      </c>
      <c r="E84" s="56" t="s">
        <v>223</v>
      </c>
      <c r="F84" s="4" t="s">
        <v>13</v>
      </c>
      <c r="G84" s="51"/>
      <c r="H84" s="51"/>
      <c r="I84" s="51"/>
      <c r="J84" s="51"/>
      <c r="K84" s="51"/>
      <c r="L84" s="51"/>
      <c r="M84" s="51"/>
      <c r="N84" s="51"/>
      <c r="O84" s="51"/>
      <c r="P84" s="51"/>
      <c r="Q84" s="51"/>
      <c r="R84" s="51"/>
      <c r="S84" s="87">
        <f t="shared" si="42"/>
        <v>0</v>
      </c>
    </row>
    <row r="85" spans="3:19" outlineLevel="1" x14ac:dyDescent="0.45">
      <c r="C85" s="217"/>
      <c r="D85" s="5" t="s">
        <v>64</v>
      </c>
      <c r="E85" s="56" t="s">
        <v>225</v>
      </c>
      <c r="F85" s="4" t="s">
        <v>13</v>
      </c>
      <c r="G85" s="51"/>
      <c r="H85" s="51"/>
      <c r="I85" s="51"/>
      <c r="J85" s="51"/>
      <c r="K85" s="51"/>
      <c r="L85" s="51"/>
      <c r="M85" s="51"/>
      <c r="N85" s="51"/>
      <c r="O85" s="51"/>
      <c r="P85" s="51"/>
      <c r="Q85" s="51"/>
      <c r="R85" s="51"/>
      <c r="S85" s="87">
        <f t="shared" si="42"/>
        <v>0</v>
      </c>
    </row>
    <row r="86" spans="3:19" outlineLevel="1" x14ac:dyDescent="0.45">
      <c r="C86" s="217"/>
      <c r="D86" s="5" t="s">
        <v>37</v>
      </c>
      <c r="E86" s="56" t="s">
        <v>226</v>
      </c>
      <c r="F86" s="4" t="s">
        <v>13</v>
      </c>
      <c r="G86" s="51"/>
      <c r="H86" s="51"/>
      <c r="I86" s="51"/>
      <c r="J86" s="51"/>
      <c r="K86" s="51"/>
      <c r="L86" s="51"/>
      <c r="M86" s="51"/>
      <c r="N86" s="51"/>
      <c r="O86" s="51"/>
      <c r="P86" s="51"/>
      <c r="Q86" s="51"/>
      <c r="R86" s="51"/>
      <c r="S86" s="87">
        <f t="shared" si="42"/>
        <v>0</v>
      </c>
    </row>
    <row r="87" spans="3:19" outlineLevel="1" x14ac:dyDescent="0.45">
      <c r="C87" s="217"/>
      <c r="D87" s="5" t="s">
        <v>38</v>
      </c>
      <c r="E87" s="56" t="s">
        <v>227</v>
      </c>
      <c r="F87" s="4" t="s">
        <v>13</v>
      </c>
      <c r="G87" s="51">
        <f t="shared" ref="G87:P87" si="43">+SUM(G57:G58)</f>
        <v>494940</v>
      </c>
      <c r="H87" s="51">
        <f t="shared" si="43"/>
        <v>115522.5</v>
      </c>
      <c r="I87" s="51">
        <f t="shared" si="43"/>
        <v>39146.25</v>
      </c>
      <c r="J87" s="51">
        <f t="shared" si="43"/>
        <v>332113.5</v>
      </c>
      <c r="K87" s="51">
        <f t="shared" si="43"/>
        <v>646816.5</v>
      </c>
      <c r="L87" s="51">
        <f t="shared" si="43"/>
        <v>646816.5</v>
      </c>
      <c r="M87" s="51">
        <f t="shared" si="43"/>
        <v>0</v>
      </c>
      <c r="N87" s="51">
        <f t="shared" si="43"/>
        <v>56830.5</v>
      </c>
      <c r="O87" s="51">
        <f t="shared" si="43"/>
        <v>2239603.5</v>
      </c>
      <c r="P87" s="51">
        <f t="shared" si="43"/>
        <v>2243947</v>
      </c>
      <c r="Q87" s="51">
        <f t="shared" ref="Q87:R87" si="44">+SUM(Q57:Q58)</f>
        <v>0</v>
      </c>
      <c r="R87" s="51">
        <f t="shared" si="44"/>
        <v>0</v>
      </c>
      <c r="S87" s="87">
        <f t="shared" si="42"/>
        <v>6815736.25</v>
      </c>
    </row>
    <row r="88" spans="3:19" outlineLevel="1" x14ac:dyDescent="0.45">
      <c r="C88" s="217"/>
      <c r="D88" s="5" t="s">
        <v>39</v>
      </c>
      <c r="E88" s="56" t="s">
        <v>228</v>
      </c>
      <c r="F88" s="4" t="s">
        <v>13</v>
      </c>
      <c r="G88" s="51">
        <f t="shared" ref="G88:P88" si="45">SUM(G59:G61)</f>
        <v>206079</v>
      </c>
      <c r="H88" s="51">
        <f t="shared" si="45"/>
        <v>32996</v>
      </c>
      <c r="I88" s="51">
        <f t="shared" si="45"/>
        <v>20695.5</v>
      </c>
      <c r="J88" s="51">
        <f t="shared" si="45"/>
        <v>43088.25</v>
      </c>
      <c r="K88" s="51">
        <f t="shared" si="45"/>
        <v>329449</v>
      </c>
      <c r="L88" s="51">
        <f t="shared" si="45"/>
        <v>329449</v>
      </c>
      <c r="M88" s="51">
        <f t="shared" si="45"/>
        <v>0</v>
      </c>
      <c r="N88" s="51">
        <f t="shared" si="45"/>
        <v>60298</v>
      </c>
      <c r="O88" s="51">
        <f t="shared" si="45"/>
        <v>1812626.5</v>
      </c>
      <c r="P88" s="51">
        <f t="shared" si="45"/>
        <v>1075582</v>
      </c>
      <c r="Q88" s="51">
        <f t="shared" ref="Q88:R88" si="46">SUM(Q59:Q61)</f>
        <v>21900</v>
      </c>
      <c r="R88" s="51">
        <f t="shared" si="46"/>
        <v>40880</v>
      </c>
      <c r="S88" s="87">
        <f t="shared" si="42"/>
        <v>3973043.25</v>
      </c>
    </row>
    <row r="89" spans="3:19" outlineLevel="1" x14ac:dyDescent="0.45">
      <c r="C89" s="217"/>
      <c r="D89" s="5" t="s">
        <v>229</v>
      </c>
      <c r="E89" s="56"/>
      <c r="F89" s="4" t="s">
        <v>13</v>
      </c>
      <c r="G89" s="51"/>
      <c r="H89" s="51"/>
      <c r="I89" s="51"/>
      <c r="J89" s="51"/>
      <c r="K89" s="51"/>
      <c r="L89" s="51"/>
      <c r="M89" s="51"/>
      <c r="N89" s="51"/>
      <c r="O89" s="51"/>
      <c r="P89" s="51"/>
      <c r="Q89" s="51"/>
      <c r="R89" s="51"/>
      <c r="S89" s="87">
        <f t="shared" si="42"/>
        <v>0</v>
      </c>
    </row>
    <row r="90" spans="3:19" ht="14.65" outlineLevel="1" thickBot="1" x14ac:dyDescent="0.5">
      <c r="C90" s="217"/>
      <c r="D90" s="5"/>
      <c r="E90" s="56" t="s">
        <v>343</v>
      </c>
      <c r="G90" s="184">
        <f>G91-G66+G97</f>
        <v>0</v>
      </c>
      <c r="H90" s="184">
        <f t="shared" ref="H90:P90" si="47">H91-H66+H97</f>
        <v>0</v>
      </c>
      <c r="I90" s="184">
        <f t="shared" si="47"/>
        <v>0</v>
      </c>
      <c r="J90" s="184">
        <f t="shared" si="47"/>
        <v>0</v>
      </c>
      <c r="K90" s="184">
        <f t="shared" si="47"/>
        <v>0</v>
      </c>
      <c r="L90" s="184">
        <f t="shared" si="47"/>
        <v>0</v>
      </c>
      <c r="M90" s="184">
        <f t="shared" si="47"/>
        <v>0</v>
      </c>
      <c r="N90" s="184">
        <f t="shared" si="47"/>
        <v>0</v>
      </c>
      <c r="O90" s="184">
        <f t="shared" si="47"/>
        <v>0</v>
      </c>
      <c r="P90" s="184">
        <f t="shared" si="47"/>
        <v>0</v>
      </c>
      <c r="Q90" s="184">
        <f t="shared" ref="Q90:R90" si="48">Q91-Q66+Q97</f>
        <v>0</v>
      </c>
      <c r="R90" s="184">
        <f t="shared" si="48"/>
        <v>0</v>
      </c>
    </row>
    <row r="91" spans="3:19" ht="16.149999999999999" outlineLevel="1" thickBot="1" x14ac:dyDescent="0.55000000000000004">
      <c r="C91" s="217"/>
      <c r="D91" s="111" t="s">
        <v>192</v>
      </c>
      <c r="E91" s="55"/>
      <c r="F91" s="4" t="s">
        <v>13</v>
      </c>
      <c r="G91" s="101">
        <f>SUM(G83:G89)</f>
        <v>701019</v>
      </c>
      <c r="H91" s="101">
        <f t="shared" ref="H91:P91" si="49">SUM(H83:H89)</f>
        <v>148518.5</v>
      </c>
      <c r="I91" s="101">
        <f t="shared" si="49"/>
        <v>59841.75</v>
      </c>
      <c r="J91" s="101">
        <f t="shared" si="49"/>
        <v>375201.75</v>
      </c>
      <c r="K91" s="101">
        <f t="shared" si="49"/>
        <v>976265.5</v>
      </c>
      <c r="L91" s="101">
        <f t="shared" si="49"/>
        <v>976265.5</v>
      </c>
      <c r="M91" s="101">
        <f t="shared" si="49"/>
        <v>0</v>
      </c>
      <c r="N91" s="101">
        <f t="shared" si="49"/>
        <v>117128.5</v>
      </c>
      <c r="O91" s="101">
        <f t="shared" si="49"/>
        <v>4052230</v>
      </c>
      <c r="P91" s="101">
        <f t="shared" si="49"/>
        <v>3319529</v>
      </c>
      <c r="Q91" s="101">
        <f t="shared" ref="Q91:S91" si="50">SUM(Q83:Q89)</f>
        <v>21900</v>
      </c>
      <c r="R91" s="101">
        <f t="shared" si="50"/>
        <v>40880</v>
      </c>
      <c r="S91" s="101">
        <f t="shared" si="50"/>
        <v>10788779.5</v>
      </c>
    </row>
    <row r="92" spans="3:19" ht="14.25" hidden="1" customHeight="1" outlineLevel="2" x14ac:dyDescent="0.45">
      <c r="C92" s="217"/>
      <c r="D92" s="118"/>
      <c r="E92" s="55"/>
    </row>
    <row r="93" spans="3:19" ht="14.25" hidden="1" customHeight="1" outlineLevel="2" x14ac:dyDescent="0.45">
      <c r="C93" s="217"/>
      <c r="D93" s="118" t="s">
        <v>368</v>
      </c>
      <c r="E93" s="55"/>
      <c r="F93" s="4" t="s">
        <v>41</v>
      </c>
      <c r="G93" s="20">
        <f t="shared" ref="G93:P93" si="51">IFERROR(G87/G68*1000/G5,)</f>
        <v>995.79902943093748</v>
      </c>
      <c r="H93" s="20">
        <f t="shared" si="51"/>
        <v>747.95081967213116</v>
      </c>
      <c r="I93" s="20">
        <f t="shared" si="51"/>
        <v>548.49726775956287</v>
      </c>
      <c r="J93" s="20">
        <f t="shared" si="51"/>
        <v>897.54098360655735</v>
      </c>
      <c r="K93" s="20">
        <f t="shared" si="51"/>
        <v>897.54098360655735</v>
      </c>
      <c r="L93" s="20">
        <f t="shared" si="51"/>
        <v>897.54098360655735</v>
      </c>
      <c r="M93" s="20">
        <f t="shared" si="51"/>
        <v>0</v>
      </c>
      <c r="N93" s="20">
        <f t="shared" si="51"/>
        <v>897.54098360655735</v>
      </c>
      <c r="O93" s="20">
        <f t="shared" si="51"/>
        <v>896.7079785905097</v>
      </c>
      <c r="P93" s="20">
        <f t="shared" si="51"/>
        <v>996.42495242002883</v>
      </c>
      <c r="Q93" s="20">
        <f t="shared" ref="Q93:R93" si="52">IFERROR(Q87/Q68*1000/Q5,)</f>
        <v>0</v>
      </c>
      <c r="R93" s="20">
        <f t="shared" si="52"/>
        <v>0</v>
      </c>
      <c r="S93" s="20"/>
    </row>
    <row r="94" spans="3:19" ht="14.25" hidden="1" customHeight="1" outlineLevel="2" x14ac:dyDescent="0.45">
      <c r="C94" s="217"/>
      <c r="D94" s="118" t="s">
        <v>369</v>
      </c>
      <c r="E94" s="55"/>
      <c r="F94" s="4" t="s">
        <v>41</v>
      </c>
      <c r="G94" s="20">
        <f t="shared" ref="G94:P94" si="53">IFERROR(G88/G69*1000/G5,)</f>
        <v>1462.4866936342346</v>
      </c>
      <c r="H94" s="20">
        <f t="shared" si="53"/>
        <v>858.60005204267497</v>
      </c>
      <c r="I94" s="20">
        <f t="shared" si="53"/>
        <v>582.9389893527125</v>
      </c>
      <c r="J94" s="20">
        <f t="shared" si="53"/>
        <v>665.12688709826796</v>
      </c>
      <c r="K94" s="20">
        <f t="shared" si="53"/>
        <v>1497.7269214333123</v>
      </c>
      <c r="L94" s="20">
        <f t="shared" si="53"/>
        <v>1497.7269214333123</v>
      </c>
      <c r="M94" s="20">
        <f t="shared" si="53"/>
        <v>0</v>
      </c>
      <c r="N94" s="20">
        <f t="shared" si="53"/>
        <v>1915.681789299784</v>
      </c>
      <c r="O94" s="20">
        <f t="shared" si="53"/>
        <v>881.07657369952449</v>
      </c>
      <c r="P94" s="20">
        <f t="shared" si="53"/>
        <v>1211.8551067545491</v>
      </c>
      <c r="Q94" s="20">
        <f t="shared" ref="Q94:R94" si="54">IFERROR(Q88/Q69*1000/Q5,)</f>
        <v>1994.5355191256831</v>
      </c>
      <c r="R94" s="20">
        <f t="shared" si="54"/>
        <v>1994.5355191256831</v>
      </c>
    </row>
    <row r="95" spans="3:19" ht="14.65" hidden="1" customHeight="1" outlineLevel="2" thickBot="1" x14ac:dyDescent="0.5">
      <c r="C95" s="217"/>
      <c r="D95" s="118" t="s">
        <v>124</v>
      </c>
      <c r="E95" s="55"/>
      <c r="F95" s="4" t="s">
        <v>41</v>
      </c>
      <c r="G95" s="20">
        <f t="shared" ref="G95:P95" si="55">G91*1000/G73/G5</f>
        <v>1098.8826500380915</v>
      </c>
      <c r="H95" s="20">
        <f t="shared" si="55"/>
        <v>769.99668190914656</v>
      </c>
      <c r="I95" s="20">
        <f t="shared" si="55"/>
        <v>559.93852459016398</v>
      </c>
      <c r="J95" s="20">
        <f t="shared" si="55"/>
        <v>862.91363084395869</v>
      </c>
      <c r="K95" s="20">
        <f t="shared" si="55"/>
        <v>1037.8957496119581</v>
      </c>
      <c r="L95" s="20">
        <f t="shared" si="55"/>
        <v>1037.8957496119581</v>
      </c>
      <c r="M95" s="20" t="e">
        <f t="shared" si="55"/>
        <v>#DIV/0!</v>
      </c>
      <c r="N95" s="20">
        <f t="shared" si="55"/>
        <v>1235.6109036436906</v>
      </c>
      <c r="O95" s="20">
        <f t="shared" si="55"/>
        <v>889.64778358109015</v>
      </c>
      <c r="P95" s="20">
        <f t="shared" si="55"/>
        <v>1057.3270419818393</v>
      </c>
      <c r="Q95" s="20">
        <f t="shared" ref="Q95:R95" si="56">Q91*1000/Q73/Q5</f>
        <v>1994.5355191256831</v>
      </c>
      <c r="R95" s="20">
        <f t="shared" si="56"/>
        <v>1994.5355191256831</v>
      </c>
    </row>
    <row r="96" spans="3:19" outlineLevel="1" collapsed="1" x14ac:dyDescent="0.45">
      <c r="C96" s="217"/>
      <c r="D96" s="108" t="s">
        <v>42</v>
      </c>
      <c r="E96" s="56"/>
    </row>
    <row r="97" spans="3:19" outlineLevel="1" x14ac:dyDescent="0.45">
      <c r="C97" s="217"/>
      <c r="D97" s="5" t="s">
        <v>43</v>
      </c>
      <c r="E97" s="56" t="s">
        <v>43</v>
      </c>
      <c r="F97" s="4" t="s">
        <v>13</v>
      </c>
      <c r="G97" s="51">
        <f t="shared" ref="G97:P97" si="57">SUM(G62:G64)</f>
        <v>11261</v>
      </c>
      <c r="H97" s="51">
        <f t="shared" si="57"/>
        <v>648</v>
      </c>
      <c r="I97" s="51">
        <f t="shared" si="57"/>
        <v>4074.5</v>
      </c>
      <c r="J97" s="51">
        <f t="shared" si="57"/>
        <v>5065</v>
      </c>
      <c r="K97" s="51">
        <f t="shared" si="57"/>
        <v>3970</v>
      </c>
      <c r="L97" s="51">
        <f t="shared" si="57"/>
        <v>1519.5</v>
      </c>
      <c r="M97" s="51">
        <f t="shared" si="57"/>
        <v>2450.5</v>
      </c>
      <c r="N97" s="51">
        <f t="shared" si="57"/>
        <v>506.5</v>
      </c>
      <c r="O97" s="51">
        <f t="shared" si="57"/>
        <v>32295.5</v>
      </c>
      <c r="P97" s="51">
        <f t="shared" si="57"/>
        <v>23157</v>
      </c>
      <c r="Q97" s="51">
        <f t="shared" ref="Q97:R97" si="58">SUM(Q62:Q64)</f>
        <v>0</v>
      </c>
      <c r="R97" s="51">
        <f t="shared" si="58"/>
        <v>0</v>
      </c>
      <c r="S97" s="87">
        <f t="shared" ref="S97:S100" si="59">SUM(G97:R97)</f>
        <v>84947.5</v>
      </c>
    </row>
    <row r="98" spans="3:19" outlineLevel="1" x14ac:dyDescent="0.45">
      <c r="C98" s="217"/>
      <c r="D98" s="5" t="s">
        <v>44</v>
      </c>
      <c r="E98" s="57" t="s">
        <v>44</v>
      </c>
      <c r="F98" s="4" t="s">
        <v>13</v>
      </c>
      <c r="G98" s="9">
        <f>0.5%*G9</f>
        <v>4870.5122536682838</v>
      </c>
      <c r="H98" s="9">
        <f>0.5%*H9</f>
        <v>1656.165</v>
      </c>
      <c r="I98" s="9">
        <f t="shared" ref="I98:P98" si="60">0.5%*I9</f>
        <v>769.22</v>
      </c>
      <c r="J98" s="9">
        <f t="shared" si="60"/>
        <v>3756.8050000000003</v>
      </c>
      <c r="K98" s="9">
        <f t="shared" si="60"/>
        <v>6003.7869999999994</v>
      </c>
      <c r="L98" s="9">
        <f t="shared" si="60"/>
        <v>0</v>
      </c>
      <c r="M98" s="9">
        <f t="shared" si="60"/>
        <v>0</v>
      </c>
      <c r="N98" s="9">
        <f t="shared" si="60"/>
        <v>638.25</v>
      </c>
      <c r="O98" s="9">
        <f t="shared" si="60"/>
        <v>26583.84</v>
      </c>
      <c r="P98" s="9">
        <f t="shared" si="60"/>
        <v>21453.41</v>
      </c>
      <c r="Q98" s="9">
        <f t="shared" ref="Q98:S98" si="61">0.5%*Q9</f>
        <v>130.065</v>
      </c>
      <c r="R98" s="9">
        <f t="shared" si="61"/>
        <v>396.8</v>
      </c>
      <c r="S98" s="9">
        <f t="shared" si="61"/>
        <v>66258.85425366828</v>
      </c>
    </row>
    <row r="99" spans="3:19" ht="16.149999999999999" outlineLevel="1" thickBot="1" x14ac:dyDescent="0.55000000000000004">
      <c r="C99" s="217"/>
      <c r="D99" s="119" t="s">
        <v>193</v>
      </c>
      <c r="E99" s="56" t="s">
        <v>42</v>
      </c>
      <c r="G99" s="101">
        <f t="shared" ref="G99:P99" si="62">SUM(G97:G98)</f>
        <v>16131.512253668283</v>
      </c>
      <c r="H99" s="101">
        <f t="shared" si="62"/>
        <v>2304.165</v>
      </c>
      <c r="I99" s="101">
        <f t="shared" si="62"/>
        <v>4843.72</v>
      </c>
      <c r="J99" s="101">
        <f t="shared" si="62"/>
        <v>8821.8050000000003</v>
      </c>
      <c r="K99" s="101">
        <f t="shared" si="62"/>
        <v>9973.7870000000003</v>
      </c>
      <c r="L99" s="101">
        <f t="shared" si="62"/>
        <v>1519.5</v>
      </c>
      <c r="M99" s="101">
        <f t="shared" si="62"/>
        <v>2450.5</v>
      </c>
      <c r="N99" s="101">
        <f t="shared" si="62"/>
        <v>1144.75</v>
      </c>
      <c r="O99" s="101">
        <f t="shared" si="62"/>
        <v>58879.34</v>
      </c>
      <c r="P99" s="101">
        <f t="shared" si="62"/>
        <v>44610.41</v>
      </c>
      <c r="Q99" s="101">
        <f t="shared" ref="Q99:S99" si="63">SUM(Q97:Q98)</f>
        <v>130.065</v>
      </c>
      <c r="R99" s="101">
        <f t="shared" si="63"/>
        <v>396.8</v>
      </c>
      <c r="S99" s="101">
        <f t="shared" si="63"/>
        <v>151206.35425366828</v>
      </c>
    </row>
    <row r="100" spans="3:19" ht="15.75" outlineLevel="1" x14ac:dyDescent="0.5">
      <c r="C100" s="217"/>
      <c r="D100" s="5" t="s">
        <v>370</v>
      </c>
      <c r="E100" s="56"/>
      <c r="F100" s="4" t="s">
        <v>41</v>
      </c>
      <c r="G100" s="101">
        <f>IFERROR(G99/G73*1000/G5,)</f>
        <v>25.286959318410695</v>
      </c>
      <c r="H100" s="101">
        <f t="shared" ref="H100:P100" si="64">IFERROR(H99/H73*1000/H5,)</f>
        <v>11.945982517808815</v>
      </c>
      <c r="I100" s="101">
        <f t="shared" si="64"/>
        <v>45.322628939291867</v>
      </c>
      <c r="J100" s="101">
        <f t="shared" si="64"/>
        <v>20.28896662434914</v>
      </c>
      <c r="K100" s="101">
        <f t="shared" si="64"/>
        <v>10.603417958367885</v>
      </c>
      <c r="L100" s="101">
        <f t="shared" si="64"/>
        <v>1.6154238693627607</v>
      </c>
      <c r="M100" s="101">
        <f t="shared" si="64"/>
        <v>0</v>
      </c>
      <c r="N100" s="101">
        <f t="shared" si="64"/>
        <v>12.076186256514125</v>
      </c>
      <c r="O100" s="101">
        <f t="shared" si="64"/>
        <v>12.926678478200254</v>
      </c>
      <c r="P100" s="101">
        <f t="shared" si="64"/>
        <v>14.209182340897481</v>
      </c>
      <c r="Q100" s="101">
        <f t="shared" ref="Q100:S100" si="65">IFERROR(Q99/Q73*1000/Q5,)</f>
        <v>11.845628415300547</v>
      </c>
      <c r="R100" s="101">
        <f t="shared" si="65"/>
        <v>19.359875097580016</v>
      </c>
      <c r="S100" s="101">
        <f t="shared" si="65"/>
        <v>13.653649132367676</v>
      </c>
    </row>
    <row r="101" spans="3:19" ht="18.399999999999999" thickBot="1" x14ac:dyDescent="0.6">
      <c r="C101" s="218"/>
      <c r="D101" s="112" t="s">
        <v>72</v>
      </c>
      <c r="E101" s="56"/>
      <c r="F101" s="4" t="s">
        <v>13</v>
      </c>
      <c r="G101" s="106">
        <f>+G99+G91</f>
        <v>717150.51225366828</v>
      </c>
      <c r="H101" s="106">
        <f t="shared" ref="H101:P101" si="66">+H99+H91</f>
        <v>150822.66500000001</v>
      </c>
      <c r="I101" s="106">
        <f t="shared" si="66"/>
        <v>64685.47</v>
      </c>
      <c r="J101" s="106">
        <f t="shared" si="66"/>
        <v>384023.55499999999</v>
      </c>
      <c r="K101" s="106">
        <f t="shared" si="66"/>
        <v>986239.28700000001</v>
      </c>
      <c r="L101" s="106">
        <f t="shared" si="66"/>
        <v>977785</v>
      </c>
      <c r="M101" s="106">
        <f t="shared" si="66"/>
        <v>2450.5</v>
      </c>
      <c r="N101" s="106">
        <f t="shared" si="66"/>
        <v>118273.25</v>
      </c>
      <c r="O101" s="106">
        <f t="shared" si="66"/>
        <v>4111109.34</v>
      </c>
      <c r="P101" s="106">
        <f t="shared" si="66"/>
        <v>3364139.41</v>
      </c>
      <c r="Q101" s="106">
        <f t="shared" ref="Q101:S101" si="67">+Q99+Q91</f>
        <v>22030.064999999999</v>
      </c>
      <c r="R101" s="106">
        <f t="shared" si="67"/>
        <v>41276.800000000003</v>
      </c>
      <c r="S101" s="106">
        <f t="shared" si="67"/>
        <v>10939985.854253668</v>
      </c>
    </row>
    <row r="102" spans="3:19" x14ac:dyDescent="0.45">
      <c r="E102" s="52"/>
      <c r="G102" s="192"/>
      <c r="H102" s="192"/>
      <c r="I102" s="192"/>
      <c r="J102" s="192"/>
      <c r="K102" s="192"/>
      <c r="L102" s="192"/>
      <c r="M102" s="192"/>
      <c r="N102" s="192"/>
      <c r="O102" s="192"/>
      <c r="P102" s="192"/>
      <c r="Q102" s="192"/>
      <c r="R102" s="192"/>
    </row>
    <row r="103" spans="3:19" ht="14.65" thickBot="1" x14ac:dyDescent="0.5">
      <c r="E103" s="52"/>
      <c r="F103"/>
      <c r="G103"/>
      <c r="H103"/>
      <c r="I103"/>
      <c r="J103"/>
      <c r="K103"/>
      <c r="L103"/>
      <c r="M103"/>
      <c r="N103"/>
      <c r="O103"/>
      <c r="P103"/>
      <c r="Q103"/>
      <c r="R103"/>
    </row>
    <row r="104" spans="3:19" ht="14.25" customHeight="1" outlineLevel="1" x14ac:dyDescent="0.45">
      <c r="C104" s="219" t="s">
        <v>73</v>
      </c>
      <c r="D104" s="108" t="s">
        <v>46</v>
      </c>
      <c r="F104"/>
      <c r="G104"/>
      <c r="H104"/>
      <c r="I104"/>
      <c r="J104"/>
      <c r="K104"/>
      <c r="L104"/>
      <c r="M104"/>
      <c r="N104"/>
      <c r="O104"/>
      <c r="P104"/>
      <c r="Q104"/>
      <c r="R104"/>
    </row>
    <row r="105" spans="3:19" outlineLevel="1" x14ac:dyDescent="0.45">
      <c r="C105" s="220"/>
      <c r="D105" s="120"/>
      <c r="E105" s="54" t="s">
        <v>191</v>
      </c>
      <c r="H105" s="9"/>
    </row>
    <row r="106" spans="3:19" outlineLevel="1" x14ac:dyDescent="0.45">
      <c r="C106" s="220"/>
      <c r="D106" s="5" t="s">
        <v>47</v>
      </c>
      <c r="E106" s="56" t="s">
        <v>47</v>
      </c>
      <c r="F106" s="4" t="s">
        <v>13</v>
      </c>
      <c r="G106" s="9">
        <f>0.1%*G9</f>
        <v>974.10245073365684</v>
      </c>
      <c r="H106" s="9">
        <f t="shared" ref="H106:P106" si="68">0.1%*H9</f>
        <v>331.233</v>
      </c>
      <c r="I106" s="9">
        <f t="shared" si="68"/>
        <v>153.84399999999999</v>
      </c>
      <c r="J106" s="9">
        <f t="shared" si="68"/>
        <v>751.36099999999999</v>
      </c>
      <c r="K106" s="9">
        <f t="shared" si="68"/>
        <v>1200.7574</v>
      </c>
      <c r="L106" s="9">
        <f t="shared" si="68"/>
        <v>0</v>
      </c>
      <c r="M106" s="9">
        <f t="shared" si="68"/>
        <v>0</v>
      </c>
      <c r="N106" s="9">
        <f t="shared" si="68"/>
        <v>127.65</v>
      </c>
      <c r="O106" s="9">
        <f t="shared" si="68"/>
        <v>5316.768</v>
      </c>
      <c r="P106" s="9">
        <f t="shared" si="68"/>
        <v>4290.6819999999998</v>
      </c>
      <c r="Q106" s="9">
        <f t="shared" ref="Q106:R106" si="69">0.1%*Q9</f>
        <v>26.013000000000002</v>
      </c>
      <c r="R106" s="9">
        <f t="shared" si="69"/>
        <v>79.36</v>
      </c>
      <c r="S106" s="9">
        <f t="shared" ref="S106" si="70">0.1%*S9</f>
        <v>13251.770850733657</v>
      </c>
    </row>
    <row r="107" spans="3:19" outlineLevel="1" x14ac:dyDescent="0.45">
      <c r="C107" s="220"/>
      <c r="D107" s="5" t="s">
        <v>48</v>
      </c>
      <c r="E107" s="56" t="s">
        <v>48</v>
      </c>
      <c r="F107" s="4" t="s">
        <v>13</v>
      </c>
      <c r="G107" s="9">
        <f t="shared" ref="G107:P107" si="71">2%*G91</f>
        <v>14020.380000000001</v>
      </c>
      <c r="H107" s="9">
        <f t="shared" si="71"/>
        <v>2970.37</v>
      </c>
      <c r="I107" s="9">
        <f t="shared" si="71"/>
        <v>1196.835</v>
      </c>
      <c r="J107" s="9">
        <f t="shared" si="71"/>
        <v>7504.0349999999999</v>
      </c>
      <c r="K107" s="9">
        <f t="shared" ref="K107" si="72">2%*K91</f>
        <v>19525.310000000001</v>
      </c>
      <c r="L107" s="9">
        <f t="shared" si="71"/>
        <v>19525.310000000001</v>
      </c>
      <c r="M107" s="9">
        <f>2%*M91</f>
        <v>0</v>
      </c>
      <c r="N107" s="9">
        <f t="shared" si="71"/>
        <v>2342.5700000000002</v>
      </c>
      <c r="O107" s="9">
        <f t="shared" si="71"/>
        <v>81044.600000000006</v>
      </c>
      <c r="P107" s="9">
        <f t="shared" si="71"/>
        <v>66390.58</v>
      </c>
      <c r="Q107" s="9">
        <f t="shared" ref="Q107:R107" si="73">2%*Q91</f>
        <v>438</v>
      </c>
      <c r="R107" s="9">
        <f t="shared" si="73"/>
        <v>817.6</v>
      </c>
      <c r="S107" s="9">
        <f t="shared" ref="S107" si="74">2%*S91</f>
        <v>215775.59</v>
      </c>
    </row>
    <row r="108" spans="3:19" ht="16.149999999999999" outlineLevel="1" thickBot="1" x14ac:dyDescent="0.55000000000000004">
      <c r="C108" s="220"/>
      <c r="D108" s="196" t="s">
        <v>46</v>
      </c>
      <c r="E108" s="56"/>
      <c r="F108" s="4" t="s">
        <v>13</v>
      </c>
      <c r="G108" s="101">
        <f>SUM(G106:G107)</f>
        <v>14994.482450733658</v>
      </c>
      <c r="H108" s="101">
        <f>SUM(H106:H107)</f>
        <v>3301.6030000000001</v>
      </c>
      <c r="I108" s="101">
        <f t="shared" ref="I108:P108" si="75">SUM(I106:I107)</f>
        <v>1350.6790000000001</v>
      </c>
      <c r="J108" s="101">
        <f t="shared" si="75"/>
        <v>8255.3960000000006</v>
      </c>
      <c r="K108" s="101">
        <f t="shared" ref="K108" si="76">SUM(K106:K107)</f>
        <v>20726.0674</v>
      </c>
      <c r="L108" s="101">
        <f t="shared" si="75"/>
        <v>19525.310000000001</v>
      </c>
      <c r="M108" s="101">
        <f>SUM(M106:M107)</f>
        <v>0</v>
      </c>
      <c r="N108" s="101">
        <f t="shared" si="75"/>
        <v>2470.2200000000003</v>
      </c>
      <c r="O108" s="101">
        <f t="shared" si="75"/>
        <v>86361.368000000002</v>
      </c>
      <c r="P108" s="101">
        <f t="shared" si="75"/>
        <v>70681.262000000002</v>
      </c>
      <c r="Q108" s="101">
        <f t="shared" ref="Q108:R108" si="77">SUM(Q106:Q107)</f>
        <v>464.01299999999998</v>
      </c>
      <c r="R108" s="101">
        <f t="shared" si="77"/>
        <v>896.96</v>
      </c>
      <c r="S108" s="101">
        <f t="shared" ref="S108" si="78">SUM(S106:S107)</f>
        <v>229027.36085073365</v>
      </c>
    </row>
    <row r="109" spans="3:19" outlineLevel="1" x14ac:dyDescent="0.45">
      <c r="C109" s="220"/>
      <c r="D109" s="195" t="s">
        <v>74</v>
      </c>
      <c r="E109" s="56"/>
    </row>
    <row r="110" spans="3:19" outlineLevel="1" x14ac:dyDescent="0.45">
      <c r="C110" s="220"/>
      <c r="D110" s="5"/>
      <c r="E110" s="56"/>
    </row>
    <row r="111" spans="3:19" ht="15.75" outlineLevel="1" x14ac:dyDescent="0.5">
      <c r="C111" s="220"/>
      <c r="D111" s="193" t="s">
        <v>49</v>
      </c>
      <c r="E111" s="56"/>
      <c r="F111" s="4" t="s">
        <v>13</v>
      </c>
      <c r="G111" s="101">
        <f t="shared" ref="G111:P111" si="79">G9-G91-G99-G108</f>
        <v>241957.45602925483</v>
      </c>
      <c r="H111" s="101">
        <f t="shared" si="79"/>
        <v>177108.73199999999</v>
      </c>
      <c r="I111" s="101">
        <f t="shared" si="79"/>
        <v>87807.850999999995</v>
      </c>
      <c r="J111" s="101">
        <f t="shared" si="79"/>
        <v>359082.049</v>
      </c>
      <c r="K111" s="101">
        <f t="shared" si="79"/>
        <v>193792.0455999999</v>
      </c>
      <c r="L111" s="101">
        <f t="shared" si="79"/>
        <v>-997310.31</v>
      </c>
      <c r="M111" s="101">
        <f t="shared" si="79"/>
        <v>-2450.5</v>
      </c>
      <c r="N111" s="101">
        <f t="shared" si="79"/>
        <v>6906.53</v>
      </c>
      <c r="O111" s="101">
        <f t="shared" si="79"/>
        <v>1119297.2919999999</v>
      </c>
      <c r="P111" s="101">
        <f t="shared" si="79"/>
        <v>855861.32799999998</v>
      </c>
      <c r="Q111" s="101">
        <f t="shared" ref="Q111:R111" si="80">Q9-Q91-Q99-Q108</f>
        <v>3518.922</v>
      </c>
      <c r="R111" s="101">
        <f t="shared" si="80"/>
        <v>37186.239999999998</v>
      </c>
      <c r="S111" s="101">
        <f t="shared" ref="S111" si="81">S9-S91-S99-S108</f>
        <v>2082757.6356292544</v>
      </c>
    </row>
    <row r="112" spans="3:19" ht="14.25" customHeight="1" outlineLevel="1" x14ac:dyDescent="0.45">
      <c r="C112" s="220"/>
      <c r="D112" s="208" t="s">
        <v>190</v>
      </c>
      <c r="E112" s="56"/>
      <c r="F112" s="4" t="s">
        <v>50</v>
      </c>
      <c r="G112" s="11">
        <f t="shared" ref="G112:P112" si="82">IFERROR(G111/G5/24/60/60*1000,0)</f>
        <v>7.6514577017953984</v>
      </c>
      <c r="H112" s="11">
        <f t="shared" si="82"/>
        <v>5.6007365664845175</v>
      </c>
      <c r="I112" s="11">
        <f t="shared" si="82"/>
        <v>2.7767611250252981</v>
      </c>
      <c r="J112" s="11">
        <f t="shared" si="82"/>
        <v>11.355306649716654</v>
      </c>
      <c r="K112" s="11">
        <f t="shared" si="82"/>
        <v>6.1283155484719662</v>
      </c>
      <c r="L112" s="11">
        <f t="shared" si="82"/>
        <v>-31.538096728901031</v>
      </c>
      <c r="M112" s="11">
        <f t="shared" si="82"/>
        <v>-7.7492536935842946E-2</v>
      </c>
      <c r="N112" s="11">
        <f t="shared" si="82"/>
        <v>0.21840625632463065</v>
      </c>
      <c r="O112" s="11">
        <f t="shared" si="82"/>
        <v>35.395709750050592</v>
      </c>
      <c r="P112" s="11">
        <f t="shared" si="82"/>
        <v>27.065033900020239</v>
      </c>
      <c r="Q112" s="11">
        <f t="shared" ref="Q112:R112" si="83">IFERROR(Q111/Q5/24/60/60*1000,0)</f>
        <v>0.11127940953248332</v>
      </c>
      <c r="R112" s="11">
        <f t="shared" si="83"/>
        <v>1.1759461647439791</v>
      </c>
      <c r="S112" s="11">
        <f t="shared" ref="S112" si="84">IFERROR(S111/S5/24/60/60*1000,0)</f>
        <v>65.863363806328891</v>
      </c>
    </row>
    <row r="113" spans="3:19" outlineLevel="1" x14ac:dyDescent="0.45">
      <c r="C113" s="220"/>
      <c r="D113" s="209"/>
      <c r="E113" s="56"/>
      <c r="F113" s="4" t="s">
        <v>41</v>
      </c>
      <c r="G113" s="10">
        <f t="shared" ref="G113:P113" si="85">IFERROR(G111/G5/G73*1000,0)</f>
        <v>379.28051946937603</v>
      </c>
      <c r="H113" s="10">
        <f t="shared" si="85"/>
        <v>918.2232245621675</v>
      </c>
      <c r="I113" s="10">
        <f t="shared" si="85"/>
        <v>821.61699041844452</v>
      </c>
      <c r="J113" s="10">
        <f t="shared" si="85"/>
        <v>825.84048361575674</v>
      </c>
      <c r="K113" s="10">
        <f t="shared" si="85"/>
        <v>206.02586124045831</v>
      </c>
      <c r="L113" s="10">
        <f t="shared" si="85"/>
        <v>-1060.26908847356</v>
      </c>
      <c r="M113" s="10">
        <f t="shared" si="85"/>
        <v>0</v>
      </c>
      <c r="N113" s="10">
        <f t="shared" si="85"/>
        <v>72.858303268139323</v>
      </c>
      <c r="O113" s="10">
        <f t="shared" si="85"/>
        <v>245.73638589026689</v>
      </c>
      <c r="P113" s="10">
        <f t="shared" si="85"/>
        <v>272.60654336229288</v>
      </c>
      <c r="Q113" s="10">
        <f t="shared" ref="Q113:R113" si="86">IFERROR(Q111/Q5/Q73*1000,0)</f>
        <v>320.48469945355191</v>
      </c>
      <c r="R113" s="10">
        <f t="shared" si="86"/>
        <v>1814.3169398907105</v>
      </c>
      <c r="S113" s="10">
        <f t="shared" ref="S113" si="87">IFERROR(S111/S5/S73*1000,0)</f>
        <v>188.06909355763153</v>
      </c>
    </row>
    <row r="114" spans="3:19" outlineLevel="1" x14ac:dyDescent="0.45">
      <c r="C114" s="220"/>
      <c r="D114" s="209"/>
      <c r="E114" s="56"/>
      <c r="F114" s="4" t="s">
        <v>51</v>
      </c>
      <c r="G114" s="11">
        <f t="shared" ref="G114:P114" si="88">IFERROR(G111/G5/G74,0)</f>
        <v>16.218271254381584</v>
      </c>
      <c r="H114" s="11">
        <f t="shared" si="88"/>
        <v>46.545173616737891</v>
      </c>
      <c r="I114" s="11">
        <f t="shared" si="88"/>
        <v>19.346928010511309</v>
      </c>
      <c r="J114" s="11">
        <f t="shared" si="88"/>
        <v>28.507874314558162</v>
      </c>
      <c r="K114" s="11">
        <f t="shared" si="88"/>
        <v>6.2891100401227904</v>
      </c>
      <c r="L114" s="11">
        <f t="shared" si="88"/>
        <v>-44.336427418494594</v>
      </c>
      <c r="M114" s="11">
        <f t="shared" si="88"/>
        <v>-0.29453993680404966</v>
      </c>
      <c r="N114" s="11">
        <f t="shared" si="88"/>
        <v>2.0429035992690361</v>
      </c>
      <c r="O114" s="11">
        <f t="shared" si="88"/>
        <v>14.947088833409277</v>
      </c>
      <c r="P114" s="11">
        <f t="shared" si="88"/>
        <v>9.05879385817566</v>
      </c>
      <c r="Q114" s="11">
        <f t="shared" ref="Q114:R114" si="89">IFERROR(Q111/Q5/Q74,0)</f>
        <v>0.19229081967213116</v>
      </c>
      <c r="R114" s="11">
        <f t="shared" si="89"/>
        <v>2.0320349726775957</v>
      </c>
      <c r="S114" s="11">
        <f t="shared" ref="S114" si="90">IFERROR(S111/S5/S74,0)</f>
        <v>6.7879983767748673</v>
      </c>
    </row>
    <row r="115" spans="3:19" ht="26.25" outlineLevel="1" x14ac:dyDescent="0.45">
      <c r="C115" s="220"/>
      <c r="D115" s="194" t="s">
        <v>52</v>
      </c>
      <c r="E115" s="56"/>
      <c r="F115" s="4" t="s">
        <v>53</v>
      </c>
      <c r="G115" s="98">
        <f>18*G74*G76*365*100%/10^3+0.8*G73*G76*365*100%/10^3</f>
        <v>45052.139889060003</v>
      </c>
      <c r="H115" s="98">
        <f>18*H74*H76*365*100%/10^3+0.8*H73*H76*365*100%/10^3</f>
        <v>18219.4606982</v>
      </c>
      <c r="I115" s="98">
        <f>18*I74*I76*365*100%/10^3+0.8*I73*I76*365*100%/10^3</f>
        <v>6669.4192840000005</v>
      </c>
      <c r="J115" s="98">
        <f>18*J74*J76*365*100%/10^3+0.8*J73*J76*365*100%/10^3</f>
        <v>43548.193800000008</v>
      </c>
      <c r="K115" s="157">
        <f>18*K74*K76*365*100%/10^3+0.8*K73*K76*365*100%/10^3</f>
        <v>75607.34246</v>
      </c>
      <c r="L115" s="157">
        <f t="shared" ref="L115" si="91">((18*L74)+(0.8*L73)+(25*15/1000))*L76/100</f>
        <v>1834.3339492</v>
      </c>
      <c r="M115" s="157">
        <f t="shared" ref="M115:R115" si="92">18*M74*M76*365*100%/10^3+0.8*M73*M76*365*100%/10^3</f>
        <v>8662.0920642000001</v>
      </c>
      <c r="N115" s="98">
        <f t="shared" si="92"/>
        <v>9133.1110300000018</v>
      </c>
      <c r="O115" s="157">
        <f t="shared" si="92"/>
        <v>333537.29419000004</v>
      </c>
      <c r="P115" s="157">
        <f t="shared" si="92"/>
        <v>243643.07428</v>
      </c>
      <c r="Q115" s="157">
        <f t="shared" si="92"/>
        <v>19561.080000000002</v>
      </c>
      <c r="R115" s="157">
        <f t="shared" si="92"/>
        <v>20001.416000000001</v>
      </c>
      <c r="S115" s="157">
        <f t="shared" ref="S115" si="93">18*S74*S76*365*100%/10^3+0.8*S73*S76*365*100%/10^3</f>
        <v>831904.18884666008</v>
      </c>
    </row>
    <row r="116" spans="3:19" ht="14.25" customHeight="1" outlineLevel="1" x14ac:dyDescent="0.45">
      <c r="C116" s="220"/>
      <c r="D116" s="222" t="s">
        <v>332</v>
      </c>
      <c r="E116" s="56" t="s">
        <v>189</v>
      </c>
      <c r="F116" s="4" t="s">
        <v>13</v>
      </c>
      <c r="G116" s="98">
        <f t="shared" ref="G116:P116" si="94">G115*G5/365</f>
        <v>45175.570409304004</v>
      </c>
      <c r="H116" s="98">
        <f t="shared" si="94"/>
        <v>18269.377028880001</v>
      </c>
      <c r="I116" s="98">
        <f t="shared" si="94"/>
        <v>6687.6916656000003</v>
      </c>
      <c r="J116" s="98">
        <f t="shared" si="94"/>
        <v>43667.503920000003</v>
      </c>
      <c r="K116" s="9">
        <f t="shared" si="94"/>
        <v>75814.485864000002</v>
      </c>
      <c r="L116" s="9">
        <f t="shared" si="94"/>
        <v>1839.3595216635617</v>
      </c>
      <c r="M116" s="9">
        <f t="shared" si="94"/>
        <v>8685.8238232799995</v>
      </c>
      <c r="N116" s="9">
        <f t="shared" si="94"/>
        <v>9158.1332520000033</v>
      </c>
      <c r="O116" s="9">
        <f t="shared" si="94"/>
        <v>334451.09499600006</v>
      </c>
      <c r="P116" s="9">
        <f t="shared" si="94"/>
        <v>244310.58955199999</v>
      </c>
      <c r="Q116" s="9">
        <f t="shared" ref="Q116:R116" si="95">Q115*Q5/365</f>
        <v>19614.672000000002</v>
      </c>
      <c r="R116" s="9">
        <f t="shared" si="95"/>
        <v>20056.214400000001</v>
      </c>
      <c r="S116" s="9">
        <f t="shared" ref="S116" si="96">S115*S5/365</f>
        <v>834183.37840514409</v>
      </c>
    </row>
    <row r="117" spans="3:19" outlineLevel="1" x14ac:dyDescent="0.45">
      <c r="C117" s="220"/>
      <c r="D117" s="223"/>
      <c r="E117" s="58"/>
      <c r="F117" s="4" t="s">
        <v>50</v>
      </c>
      <c r="G117" s="99">
        <f>G115/365/24/60/60*1000</f>
        <v>1.4285939843055555</v>
      </c>
      <c r="H117" s="99">
        <f t="shared" ref="H117:P117" si="97">H115/365/24/60/60*1000</f>
        <v>0.57773530879629631</v>
      </c>
      <c r="I117" s="99">
        <f t="shared" ref="I117" si="98">I115/365/24/60/60*1000</f>
        <v>0.21148589814814819</v>
      </c>
      <c r="J117" s="99">
        <f t="shared" si="97"/>
        <v>1.3809041666666668</v>
      </c>
      <c r="K117" s="11">
        <f t="shared" ref="K117:L117" si="99">K115/365/24/60/60*1000</f>
        <v>2.3974931018518522</v>
      </c>
      <c r="L117" s="11">
        <f t="shared" si="99"/>
        <v>5.8166347957889393E-2</v>
      </c>
      <c r="M117" s="11">
        <f>M115/365/24/60/60*1000</f>
        <v>0.27467313749999994</v>
      </c>
      <c r="N117" s="11">
        <f t="shared" si="97"/>
        <v>0.28960905092592604</v>
      </c>
      <c r="O117" s="11">
        <f t="shared" si="97"/>
        <v>10.576398217592594</v>
      </c>
      <c r="P117" s="11">
        <f t="shared" si="97"/>
        <v>7.7258712037037034</v>
      </c>
      <c r="Q117" s="11">
        <f t="shared" ref="Q117:R117" si="100">Q115/365/24/60/60*1000</f>
        <v>0.62027777777777782</v>
      </c>
      <c r="R117" s="11">
        <f t="shared" si="100"/>
        <v>0.63424074074074066</v>
      </c>
      <c r="S117" s="11">
        <f t="shared" ref="S117" si="101">S115/365/24/60/60*1000</f>
        <v>26.379508778750004</v>
      </c>
    </row>
    <row r="118" spans="3:19" outlineLevel="1" x14ac:dyDescent="0.45">
      <c r="C118" s="220"/>
      <c r="D118" s="223"/>
      <c r="E118" s="58"/>
      <c r="F118" s="4" t="s">
        <v>41</v>
      </c>
      <c r="G118" s="98">
        <f t="shared" ref="G118:P118" si="102">IFERROR(G115/365/G73*1000,0)</f>
        <v>70.814985796901908</v>
      </c>
      <c r="H118" s="98">
        <f t="shared" si="102"/>
        <v>94.717895028463005</v>
      </c>
      <c r="I118" s="98">
        <f t="shared" si="102"/>
        <v>62.576649315068494</v>
      </c>
      <c r="J118" s="98">
        <f t="shared" si="102"/>
        <v>100.42939393939396</v>
      </c>
      <c r="K118" s="9">
        <f t="shared" si="102"/>
        <v>80.600546303501943</v>
      </c>
      <c r="L118" s="9">
        <f t="shared" si="102"/>
        <v>1.9554756667555031</v>
      </c>
      <c r="M118" s="9">
        <f t="shared" si="102"/>
        <v>0</v>
      </c>
      <c r="N118" s="9">
        <f t="shared" si="102"/>
        <v>96.610895752895772</v>
      </c>
      <c r="O118" s="9">
        <f t="shared" si="102"/>
        <v>73.427143913218174</v>
      </c>
      <c r="P118" s="9">
        <f t="shared" si="102"/>
        <v>77.817121939846118</v>
      </c>
      <c r="Q118" s="9">
        <f t="shared" ref="Q118:R118" si="103">IFERROR(Q115/365/Q73*1000,0)</f>
        <v>1786.4000000000003</v>
      </c>
      <c r="R118" s="9">
        <f t="shared" si="103"/>
        <v>978.5428571428572</v>
      </c>
      <c r="S118" s="9">
        <f t="shared" ref="S118" si="104">IFERROR(S115/365/S73*1000,0)</f>
        <v>75.325188660321245</v>
      </c>
    </row>
    <row r="119" spans="3:19" outlineLevel="1" x14ac:dyDescent="0.45">
      <c r="C119" s="220"/>
      <c r="D119" s="223"/>
      <c r="E119" s="58"/>
      <c r="F119" s="4" t="s">
        <v>51</v>
      </c>
      <c r="G119" s="99">
        <f t="shared" ref="G119:P119" si="105">IFERROR(G115/G74/365,0)</f>
        <v>3.0280929010962989</v>
      </c>
      <c r="H119" s="99">
        <f t="shared" si="105"/>
        <v>4.8012953177196414</v>
      </c>
      <c r="I119" s="99">
        <f t="shared" si="105"/>
        <v>1.4735161803568073</v>
      </c>
      <c r="J119" s="99">
        <f t="shared" si="105"/>
        <v>3.4668057533052457</v>
      </c>
      <c r="K119" s="11">
        <f t="shared" si="105"/>
        <v>2.4603984273853499</v>
      </c>
      <c r="L119" s="11">
        <f t="shared" si="105"/>
        <v>8.1770567406200229E-2</v>
      </c>
      <c r="M119" s="11">
        <f t="shared" si="105"/>
        <v>1.044</v>
      </c>
      <c r="N119" s="11">
        <f t="shared" si="105"/>
        <v>2.7089122009310387</v>
      </c>
      <c r="O119" s="11">
        <f t="shared" si="105"/>
        <v>4.4662577700011248</v>
      </c>
      <c r="P119" s="11">
        <f t="shared" si="105"/>
        <v>2.5858853481471153</v>
      </c>
      <c r="Q119" s="11">
        <f t="shared" ref="Q119:R119" si="106">IFERROR(Q115/Q74/365,0)</f>
        <v>1.0718400000000001</v>
      </c>
      <c r="R119" s="11">
        <f t="shared" si="106"/>
        <v>1.0959680000000001</v>
      </c>
      <c r="S119" s="11">
        <f t="shared" ref="S119" si="107">IFERROR(S115/S74/365,0)</f>
        <v>2.7187202781930631</v>
      </c>
    </row>
    <row r="120" spans="3:19" ht="14.65" outlineLevel="1" thickBot="1" x14ac:dyDescent="0.5">
      <c r="C120" s="220"/>
      <c r="D120" s="224"/>
      <c r="E120" s="58"/>
      <c r="G120" s="181"/>
      <c r="H120" s="99"/>
      <c r="I120" s="99"/>
      <c r="J120" s="99"/>
      <c r="K120" s="11"/>
      <c r="L120" s="11"/>
      <c r="M120" s="11"/>
      <c r="N120" s="11"/>
      <c r="O120" s="11"/>
      <c r="P120" s="11"/>
      <c r="Q120" s="11"/>
      <c r="R120" s="11"/>
    </row>
    <row r="121" spans="3:19" ht="18.399999999999999" thickBot="1" x14ac:dyDescent="0.6">
      <c r="C121" s="221"/>
      <c r="D121" s="110" t="s">
        <v>73</v>
      </c>
      <c r="E121" s="109"/>
      <c r="F121" s="4" t="s">
        <v>13</v>
      </c>
      <c r="G121" s="107">
        <f>+G111+G108</f>
        <v>256951.93847998849</v>
      </c>
      <c r="H121" s="107">
        <f t="shared" ref="H121:P121" si="108">+H111+H108</f>
        <v>180410.33499999999</v>
      </c>
      <c r="I121" s="107">
        <f t="shared" si="108"/>
        <v>89158.53</v>
      </c>
      <c r="J121" s="107">
        <f t="shared" si="108"/>
        <v>367337.44500000001</v>
      </c>
      <c r="K121" s="107">
        <f t="shared" si="108"/>
        <v>214518.1129999999</v>
      </c>
      <c r="L121" s="107">
        <f t="shared" si="108"/>
        <v>-977785</v>
      </c>
      <c r="M121" s="107">
        <f t="shared" si="108"/>
        <v>-2450.5</v>
      </c>
      <c r="N121" s="107">
        <f t="shared" si="108"/>
        <v>9376.75</v>
      </c>
      <c r="O121" s="107">
        <f t="shared" si="108"/>
        <v>1205658.6599999999</v>
      </c>
      <c r="P121" s="107">
        <f t="shared" si="108"/>
        <v>926542.59</v>
      </c>
      <c r="Q121" s="107">
        <f t="shared" ref="Q121:R121" si="109">+Q111+Q108</f>
        <v>3982.9349999999999</v>
      </c>
      <c r="R121" s="107">
        <f t="shared" si="109"/>
        <v>38083.199999999997</v>
      </c>
      <c r="S121" s="107">
        <f>SUM(G121:R121)</f>
        <v>2311784.9964799886</v>
      </c>
    </row>
    <row r="122" spans="3:19" x14ac:dyDescent="0.45">
      <c r="D122" s="12"/>
      <c r="E122" s="13"/>
    </row>
    <row r="123" spans="3:19" ht="14.65" thickBot="1" x14ac:dyDescent="0.5">
      <c r="D123" s="12"/>
      <c r="E123" s="121"/>
    </row>
    <row r="124" spans="3:19" x14ac:dyDescent="0.45">
      <c r="C124" s="210" t="s">
        <v>212</v>
      </c>
      <c r="D124" s="122" t="s">
        <v>54</v>
      </c>
      <c r="E124" s="123"/>
      <c r="F124" s="124"/>
      <c r="G124" s="125">
        <f t="shared" ref="G124:P124" si="110">IFERROR(G113/G118,0)</f>
        <v>5.3559358263116286</v>
      </c>
      <c r="H124" s="125">
        <f t="shared" si="110"/>
        <v>9.6942950884438339</v>
      </c>
      <c r="I124" s="125">
        <f t="shared" si="110"/>
        <v>13.129769641095159</v>
      </c>
      <c r="J124" s="125">
        <f t="shared" si="110"/>
        <v>8.2230953630380963</v>
      </c>
      <c r="K124" s="125">
        <f t="shared" ref="K124" si="111">IFERROR(K113/K118,0)</f>
        <v>2.5561347991943681</v>
      </c>
      <c r="L124" s="125">
        <f t="shared" si="110"/>
        <v>-542.20520689615284</v>
      </c>
      <c r="M124" s="125">
        <f>IFERROR(M113/M118,0)</f>
        <v>0</v>
      </c>
      <c r="N124" s="125">
        <f t="shared" si="110"/>
        <v>0.75414168040104834</v>
      </c>
      <c r="O124" s="125">
        <f t="shared" si="110"/>
        <v>3.3466695392741541</v>
      </c>
      <c r="P124" s="126">
        <f t="shared" si="110"/>
        <v>3.5031691813663079</v>
      </c>
      <c r="Q124" s="126">
        <f t="shared" ref="Q124:R124" si="112">IFERROR(Q113/Q118,0)</f>
        <v>0.17940254111819964</v>
      </c>
      <c r="R124" s="126">
        <f t="shared" si="112"/>
        <v>1.8541006422428352</v>
      </c>
      <c r="S124" s="126">
        <f t="shared" ref="S124" si="113">IFERROR(S113/S118,0)</f>
        <v>2.4967623301380453</v>
      </c>
    </row>
    <row r="125" spans="3:19" ht="33.75" customHeight="1" x14ac:dyDescent="0.45">
      <c r="C125" s="211"/>
      <c r="D125" s="5" t="s">
        <v>118</v>
      </c>
      <c r="E125" s="127"/>
      <c r="G125" s="46" t="str">
        <f>VLOOKUP(IF(G124&gt;=8,8,ROUNDDOWN(G124,0)),'Leakage Guide'!$P$4:$Q$12,2,FALSE)</f>
        <v>C</v>
      </c>
      <c r="H125" s="46" t="str">
        <f>VLOOKUP(IF(H124&gt;=8,8,ROUNDDOWN(H124,0)),'Leakage Guide'!$P$4:$Q$12,2,FALSE)</f>
        <v>D</v>
      </c>
      <c r="I125" s="46" t="str">
        <f>VLOOKUP(IF(I124&gt;=8,8,ROUNDDOWN(I124,0)),'Leakage Guide'!$P$4:$Q$12,2,FALSE)</f>
        <v>D</v>
      </c>
      <c r="J125" s="97" t="str">
        <f>VLOOKUP(IF(J124&gt;=8,8,ROUNDDOWN(J124,0)),'Leakage Guide'!$P$4:$Q$12,2,FALSE)</f>
        <v>D</v>
      </c>
      <c r="K125" s="97" t="str">
        <f>VLOOKUP(IF(K124&gt;=8,8,ROUNDDOWN(K124,0)),'Leakage Guide'!$P$4:$Q$12,2,FALSE)</f>
        <v>B</v>
      </c>
      <c r="L125" s="97" t="e">
        <f>VLOOKUP(IF(L124&gt;=8,8,ROUNDDOWN(L124,0)),'Leakage Guide'!$P$4:$Q$12,2,FALSE)</f>
        <v>#N/A</v>
      </c>
      <c r="M125" s="97" t="str">
        <f>VLOOKUP(IF(M124&gt;=8,8,ROUNDDOWN(M124,0)),'Leakage Guide'!$P$4:$Q$12,2,FALSE)</f>
        <v>A</v>
      </c>
      <c r="N125" s="97" t="str">
        <f>VLOOKUP(IF(N124&gt;=8,8,ROUNDDOWN(N124,0)),'Leakage Guide'!$P$4:$Q$12,2,FALSE)</f>
        <v>A</v>
      </c>
      <c r="O125" s="97" t="str">
        <f>VLOOKUP(IF(O124&gt;=8,8,ROUNDDOWN(O124,0)),'Leakage Guide'!$P$4:$Q$12,2,FALSE)</f>
        <v>B</v>
      </c>
      <c r="P125" s="128" t="str">
        <f>VLOOKUP(IF(P124&gt;=8,8,ROUNDDOWN(P124,0)),'Leakage Guide'!$P$4:$Q$12,2,FALSE)</f>
        <v>B</v>
      </c>
      <c r="Q125" s="128" t="str">
        <f>VLOOKUP(IF(Q124&gt;=8,8,ROUNDDOWN(Q124,0)),'Leakage Guide'!$P$4:$Q$12,2,FALSE)</f>
        <v>A</v>
      </c>
      <c r="R125" s="128" t="str">
        <f>VLOOKUP(IF(R124&gt;=8,8,ROUNDDOWN(R124,0)),'Leakage Guide'!$P$4:$Q$12,2,FALSE)</f>
        <v>A</v>
      </c>
      <c r="S125" s="128" t="str">
        <f>VLOOKUP(IF(S124&gt;=8,8,ROUNDDOWN(S124,0)),'Leakage Guide'!$P$4:$Q$12,2,FALSE)</f>
        <v>B</v>
      </c>
    </row>
    <row r="126" spans="3:19" x14ac:dyDescent="0.45">
      <c r="C126" s="211"/>
      <c r="D126" s="5"/>
      <c r="E126" s="127"/>
      <c r="P126" s="129"/>
      <c r="Q126" s="129"/>
      <c r="R126" s="129"/>
      <c r="S126" s="129"/>
    </row>
    <row r="127" spans="3:19" x14ac:dyDescent="0.45">
      <c r="C127" s="211"/>
      <c r="D127" s="5"/>
      <c r="E127" s="127"/>
      <c r="P127" s="129"/>
      <c r="Q127" s="129"/>
      <c r="R127" s="129"/>
      <c r="S127" s="129"/>
    </row>
    <row r="128" spans="3:19" x14ac:dyDescent="0.45">
      <c r="C128" s="211"/>
      <c r="D128" s="130" t="s">
        <v>55</v>
      </c>
      <c r="E128" s="131"/>
      <c r="F128" s="4" t="s">
        <v>56</v>
      </c>
      <c r="G128" s="132">
        <f>IFERROR((G9-G91)/G9,0)</f>
        <v>0.28034366459911969</v>
      </c>
      <c r="H128" s="132">
        <f t="shared" ref="H128:P128" si="114">IFERROR((H6-H91)/H6,0)</f>
        <v>0.55161925291260228</v>
      </c>
      <c r="I128" s="132">
        <f t="shared" si="114"/>
        <v>0.61102317932451056</v>
      </c>
      <c r="J128" s="132">
        <f t="shared" si="114"/>
        <v>0.50063717706934485</v>
      </c>
      <c r="K128" s="132">
        <f t="shared" si="114"/>
        <v>0.18695858130876389</v>
      </c>
      <c r="L128" s="132">
        <f t="shared" si="114"/>
        <v>0</v>
      </c>
      <c r="M128" s="132">
        <f t="shared" si="114"/>
        <v>0</v>
      </c>
      <c r="N128" s="132">
        <f t="shared" si="114"/>
        <v>8.2424598511555036E-2</v>
      </c>
      <c r="O128" s="132">
        <f t="shared" si="114"/>
        <v>0.23783960481254776</v>
      </c>
      <c r="P128" s="133">
        <f t="shared" si="114"/>
        <v>0.22634000841824214</v>
      </c>
      <c r="Q128" s="133">
        <f t="shared" ref="Q128:R128" si="115">IFERROR((Q6-Q91)/Q6,0)</f>
        <v>0.15811325106677432</v>
      </c>
      <c r="R128" s="133">
        <f t="shared" si="115"/>
        <v>0.4848790322580645</v>
      </c>
      <c r="S128" s="133">
        <f t="shared" ref="S128" si="116">IFERROR((S6-S91)/S6,0)</f>
        <v>0.19765907248980516</v>
      </c>
    </row>
    <row r="129" spans="3:19" x14ac:dyDescent="0.45">
      <c r="C129" s="211"/>
      <c r="D129" s="134"/>
      <c r="E129" s="56" t="s">
        <v>133</v>
      </c>
      <c r="F129" s="4" t="s">
        <v>18</v>
      </c>
      <c r="G129" s="9">
        <f t="shared" ref="G129:P129" si="117">IFERROR((G99*(G14+G16)/2+G108*G14+G111*G16)/100/G5*365,0)</f>
        <v>0</v>
      </c>
      <c r="H129" s="9">
        <f t="shared" si="117"/>
        <v>0</v>
      </c>
      <c r="I129" s="9">
        <f t="shared" si="117"/>
        <v>0</v>
      </c>
      <c r="J129" s="9">
        <f t="shared" si="117"/>
        <v>0</v>
      </c>
      <c r="K129" s="9">
        <f t="shared" si="117"/>
        <v>0</v>
      </c>
      <c r="L129" s="9">
        <f t="shared" si="117"/>
        <v>0</v>
      </c>
      <c r="M129" s="9">
        <f t="shared" si="117"/>
        <v>0</v>
      </c>
      <c r="N129" s="9">
        <f t="shared" si="117"/>
        <v>0</v>
      </c>
      <c r="O129" s="9">
        <f t="shared" si="117"/>
        <v>0</v>
      </c>
      <c r="P129" s="135">
        <f t="shared" si="117"/>
        <v>0</v>
      </c>
      <c r="Q129" s="135">
        <f t="shared" ref="Q129:R129" si="118">IFERROR((Q99*(Q14+Q16)/2+Q108*Q14+Q111*Q16)/100/Q5*365,0)</f>
        <v>0</v>
      </c>
      <c r="R129" s="135">
        <f t="shared" si="118"/>
        <v>0</v>
      </c>
      <c r="S129" s="135">
        <f t="shared" ref="S129" si="119">IFERROR((S99*(S14+S16)/2+S108*S14+S111*S16)/100/S5*365,0)</f>
        <v>0</v>
      </c>
    </row>
    <row r="130" spans="3:19" x14ac:dyDescent="0.45">
      <c r="C130" s="211"/>
      <c r="D130" s="134"/>
      <c r="E130" s="136"/>
      <c r="F130" s="4" t="s">
        <v>57</v>
      </c>
      <c r="G130" s="132">
        <f t="shared" ref="G130:P130" si="120">IFERROR(G129/G15,0)</f>
        <v>0</v>
      </c>
      <c r="H130" s="132">
        <f t="shared" si="120"/>
        <v>0</v>
      </c>
      <c r="I130" s="132">
        <f t="shared" si="120"/>
        <v>0</v>
      </c>
      <c r="J130" s="132">
        <f t="shared" si="120"/>
        <v>0</v>
      </c>
      <c r="K130" s="132">
        <f t="shared" si="120"/>
        <v>0</v>
      </c>
      <c r="L130" s="132">
        <f t="shared" si="120"/>
        <v>0</v>
      </c>
      <c r="M130" s="132">
        <f t="shared" si="120"/>
        <v>0</v>
      </c>
      <c r="N130" s="132">
        <f t="shared" si="120"/>
        <v>0</v>
      </c>
      <c r="O130" s="132">
        <f t="shared" si="120"/>
        <v>0</v>
      </c>
      <c r="P130" s="133">
        <f t="shared" si="120"/>
        <v>0</v>
      </c>
      <c r="Q130" s="133">
        <f t="shared" ref="Q130:R130" si="121">IFERROR(Q129/Q15,0)</f>
        <v>0</v>
      </c>
      <c r="R130" s="133">
        <f t="shared" si="121"/>
        <v>0</v>
      </c>
      <c r="S130" s="133">
        <f t="shared" ref="S130" si="122">IFERROR(S129/S15,0)</f>
        <v>0</v>
      </c>
    </row>
    <row r="131" spans="3:19" ht="28.9" thickBot="1" x14ac:dyDescent="0.5">
      <c r="C131" s="212"/>
      <c r="D131" s="137" t="s">
        <v>58</v>
      </c>
      <c r="E131" s="138"/>
      <c r="F131" s="139" t="s">
        <v>18</v>
      </c>
      <c r="G131" s="140">
        <f t="shared" ref="G131:P131" si="123">+G15-G129</f>
        <v>0</v>
      </c>
      <c r="H131" s="140">
        <f t="shared" si="123"/>
        <v>0</v>
      </c>
      <c r="I131" s="140">
        <f t="shared" si="123"/>
        <v>0</v>
      </c>
      <c r="J131" s="140">
        <f t="shared" si="123"/>
        <v>0</v>
      </c>
      <c r="K131" s="140">
        <f t="shared" si="123"/>
        <v>0</v>
      </c>
      <c r="L131" s="140">
        <f t="shared" si="123"/>
        <v>0</v>
      </c>
      <c r="M131" s="140">
        <f t="shared" si="123"/>
        <v>0</v>
      </c>
      <c r="N131" s="140">
        <f t="shared" si="123"/>
        <v>0</v>
      </c>
      <c r="O131" s="140">
        <f t="shared" si="123"/>
        <v>0</v>
      </c>
      <c r="P131" s="141">
        <f t="shared" si="123"/>
        <v>0</v>
      </c>
      <c r="Q131" s="141">
        <f t="shared" ref="Q131:R131" si="124">+Q15-Q129</f>
        <v>0</v>
      </c>
      <c r="R131" s="141">
        <f t="shared" si="124"/>
        <v>0</v>
      </c>
      <c r="S131" s="141">
        <f t="shared" ref="S131" si="125">+S15-S129</f>
        <v>0</v>
      </c>
    </row>
    <row r="132" spans="3:19" x14ac:dyDescent="0.45">
      <c r="D132" s="5"/>
      <c r="E132" s="5"/>
      <c r="S132" s="4"/>
    </row>
    <row r="133" spans="3:19" x14ac:dyDescent="0.45">
      <c r="D133" s="14" t="str">
        <f>D91</f>
        <v>Billed Consumption</v>
      </c>
      <c r="E133" s="14"/>
      <c r="F133" s="16" t="s">
        <v>40</v>
      </c>
      <c r="S133" s="4"/>
    </row>
    <row r="134" spans="3:19" x14ac:dyDescent="0.45">
      <c r="D134" s="14" t="str">
        <f>D99</f>
        <v>Unbilled  Consumption</v>
      </c>
      <c r="E134" s="14"/>
      <c r="F134" s="17" t="s">
        <v>45</v>
      </c>
      <c r="S134" s="4"/>
    </row>
    <row r="135" spans="3:19" x14ac:dyDescent="0.45">
      <c r="D135" s="14" t="str">
        <f>D108</f>
        <v>Apparent Losses</v>
      </c>
      <c r="E135" s="14"/>
      <c r="F135" s="18" t="s">
        <v>46</v>
      </c>
      <c r="S135" s="4"/>
    </row>
    <row r="136" spans="3:19" ht="42.75" x14ac:dyDescent="0.45">
      <c r="D136" s="14" t="str">
        <f>D111</f>
        <v>Current Annual Real Losses (CARL)</v>
      </c>
      <c r="E136" s="14"/>
      <c r="F136" s="19" t="s">
        <v>49</v>
      </c>
      <c r="S136" s="4"/>
    </row>
    <row r="137" spans="3:19" x14ac:dyDescent="0.45">
      <c r="S137" s="4"/>
    </row>
    <row r="138" spans="3:19" x14ac:dyDescent="0.45">
      <c r="D138" s="49" t="s">
        <v>244</v>
      </c>
      <c r="F138" s="4" t="s">
        <v>41</v>
      </c>
      <c r="G138" s="20">
        <f t="shared" ref="G138:P138" si="126">+G9*1000/G73/G5</f>
        <v>1526.9547365632034</v>
      </c>
      <c r="H138" s="20">
        <f t="shared" si="126"/>
        <v>1717.2831057330388</v>
      </c>
      <c r="I138" s="20">
        <f t="shared" si="126"/>
        <v>1439.5164308705741</v>
      </c>
      <c r="J138" s="20">
        <f t="shared" si="126"/>
        <v>1728.0293830840278</v>
      </c>
      <c r="K138" s="20">
        <f t="shared" si="126"/>
        <v>1276.5595033063298</v>
      </c>
      <c r="L138" s="20">
        <f t="shared" si="126"/>
        <v>0</v>
      </c>
      <c r="M138" s="20" t="e">
        <f t="shared" si="126"/>
        <v>#DIV/0!</v>
      </c>
      <c r="N138" s="20">
        <f t="shared" si="126"/>
        <v>1346.6042154566744</v>
      </c>
      <c r="O138" s="20">
        <f t="shared" si="126"/>
        <v>1167.2710746958749</v>
      </c>
      <c r="P138" s="20">
        <f t="shared" si="126"/>
        <v>1366.6559644891558</v>
      </c>
      <c r="Q138" s="20">
        <f t="shared" ref="Q138:R138" si="127">+Q9*1000/Q73/Q5</f>
        <v>2369.1256830601092</v>
      </c>
      <c r="R138" s="20">
        <f t="shared" si="127"/>
        <v>3871.9750195160027</v>
      </c>
      <c r="S138" s="20">
        <f t="shared" ref="S138" si="128">+S9*1000/S73/S5</f>
        <v>1196.6099604181504</v>
      </c>
    </row>
    <row r="139" spans="3:19" x14ac:dyDescent="0.45">
      <c r="D139" s="49" t="s">
        <v>125</v>
      </c>
      <c r="G139" s="9"/>
      <c r="H139" s="9"/>
      <c r="I139" s="9"/>
      <c r="J139" s="9"/>
      <c r="K139" s="9"/>
      <c r="L139" s="9"/>
      <c r="M139" s="9"/>
      <c r="N139" s="9"/>
      <c r="O139" s="9"/>
      <c r="P139" s="9"/>
      <c r="Q139" s="9"/>
      <c r="R139" s="9"/>
      <c r="S139" s="9"/>
    </row>
    <row r="140" spans="3:19" x14ac:dyDescent="0.45">
      <c r="D140" s="14" t="str">
        <f>D93</f>
        <v>Residential Billed Consumption</v>
      </c>
      <c r="F140" s="4" t="s">
        <v>123</v>
      </c>
      <c r="G140" s="50">
        <f t="shared" ref="G140:P140" si="129">G87/G$9</f>
        <v>0.50809850609371743</v>
      </c>
      <c r="H140" s="50">
        <f t="shared" si="129"/>
        <v>0.34876506869786522</v>
      </c>
      <c r="I140" s="50">
        <f t="shared" si="129"/>
        <v>0.25445418735862302</v>
      </c>
      <c r="J140" s="50">
        <f t="shared" si="129"/>
        <v>0.44201588850100021</v>
      </c>
      <c r="K140" s="50">
        <f t="shared" si="129"/>
        <v>0.53867375708032283</v>
      </c>
      <c r="L140" s="50" t="e">
        <f t="shared" si="129"/>
        <v>#DIV/0!</v>
      </c>
      <c r="M140" s="50" t="e">
        <f t="shared" si="129"/>
        <v>#DIV/0!</v>
      </c>
      <c r="N140" s="50">
        <f t="shared" si="129"/>
        <v>0.44520564042303173</v>
      </c>
      <c r="O140" s="50">
        <f t="shared" si="129"/>
        <v>0.42123400908220932</v>
      </c>
      <c r="P140" s="50">
        <f t="shared" si="129"/>
        <v>0.52298142812727677</v>
      </c>
      <c r="Q140" s="50">
        <f t="shared" ref="Q140:R140" si="130">Q87/Q$9</f>
        <v>0</v>
      </c>
      <c r="R140" s="50">
        <f t="shared" si="130"/>
        <v>0</v>
      </c>
      <c r="S140" s="50">
        <f t="shared" ref="S140" si="131">S87/S$9</f>
        <v>0.51432644940601735</v>
      </c>
    </row>
    <row r="141" spans="3:19" x14ac:dyDescent="0.45">
      <c r="D141" s="14" t="str">
        <f>D94</f>
        <v>Non-Residential Billed Consumption</v>
      </c>
      <c r="F141" s="4" t="s">
        <v>123</v>
      </c>
      <c r="G141" s="50">
        <f t="shared" ref="G141:P141" si="132">G88/G$9</f>
        <v>0.21155782930716288</v>
      </c>
      <c r="H141" s="50">
        <f t="shared" si="132"/>
        <v>9.9615678389532447E-2</v>
      </c>
      <c r="I141" s="50">
        <f t="shared" si="132"/>
        <v>0.13452263331686642</v>
      </c>
      <c r="J141" s="50">
        <f t="shared" si="132"/>
        <v>5.7346934429654987E-2</v>
      </c>
      <c r="K141" s="50">
        <f t="shared" si="132"/>
        <v>0.27436766161091325</v>
      </c>
      <c r="L141" s="50" t="e">
        <f t="shared" si="132"/>
        <v>#DIV/0!</v>
      </c>
      <c r="M141" s="50" t="e">
        <f t="shared" si="132"/>
        <v>#DIV/0!</v>
      </c>
      <c r="N141" s="50">
        <f t="shared" si="132"/>
        <v>0.47236976106541323</v>
      </c>
      <c r="O141" s="50">
        <f t="shared" si="132"/>
        <v>0.3409263861052429</v>
      </c>
      <c r="P141" s="50">
        <f t="shared" si="132"/>
        <v>0.25067856345448114</v>
      </c>
      <c r="Q141" s="50">
        <f t="shared" ref="Q141:R141" si="133">Q88/Q$9</f>
        <v>0.84188674893322568</v>
      </c>
      <c r="R141" s="50">
        <f t="shared" si="133"/>
        <v>0.5151209677419355</v>
      </c>
      <c r="S141" s="50">
        <f t="shared" ref="S141" si="134">S88/S$9</f>
        <v>0.29981225111359672</v>
      </c>
    </row>
    <row r="142" spans="3:19" x14ac:dyDescent="0.45">
      <c r="D142" s="14" t="s">
        <v>371</v>
      </c>
      <c r="F142" s="4" t="s">
        <v>123</v>
      </c>
      <c r="G142" s="50">
        <f>G99/G$9</f>
        <v>1.6560385657092478E-2</v>
      </c>
      <c r="H142" s="50">
        <f t="shared" ref="H142:P142" si="135">H99/H$9</f>
        <v>6.9563268152629722E-3</v>
      </c>
      <c r="I142" s="50">
        <f t="shared" si="135"/>
        <v>3.1484620784690991E-2</v>
      </c>
      <c r="J142" s="50">
        <f t="shared" si="135"/>
        <v>1.1741100482990201E-2</v>
      </c>
      <c r="K142" s="50">
        <f t="shared" si="135"/>
        <v>8.3062465407250461E-3</v>
      </c>
      <c r="L142" s="50" t="e">
        <f t="shared" si="135"/>
        <v>#DIV/0!</v>
      </c>
      <c r="M142" s="50" t="e">
        <f t="shared" si="135"/>
        <v>#DIV/0!</v>
      </c>
      <c r="N142" s="50">
        <f t="shared" si="135"/>
        <v>8.967880924402663E-3</v>
      </c>
      <c r="O142" s="50">
        <f t="shared" si="135"/>
        <v>1.1074272941757097E-2</v>
      </c>
      <c r="P142" s="50">
        <f t="shared" si="135"/>
        <v>1.0397044106274947E-2</v>
      </c>
      <c r="Q142" s="50">
        <f t="shared" ref="Q142:R142" si="136">Q99/Q$9</f>
        <v>5.0000000000000001E-3</v>
      </c>
      <c r="R142" s="50">
        <f t="shared" si="136"/>
        <v>5.0000000000000001E-3</v>
      </c>
      <c r="S142" s="50">
        <f t="shared" ref="S142" si="137">S99/S$9</f>
        <v>1.1410275347863947E-2</v>
      </c>
    </row>
    <row r="143" spans="3:19" x14ac:dyDescent="0.45">
      <c r="D143" s="14" t="s">
        <v>73</v>
      </c>
      <c r="F143" s="4" t="s">
        <v>123</v>
      </c>
      <c r="G143" s="50">
        <f>(G108+G111)/G$9</f>
        <v>0.26378327894202719</v>
      </c>
      <c r="H143" s="50">
        <f t="shared" ref="H143:P143" si="138">(H108+H111)/H$9</f>
        <v>0.54466292609733935</v>
      </c>
      <c r="I143" s="50">
        <f t="shared" si="138"/>
        <v>0.5795385585398195</v>
      </c>
      <c r="J143" s="50">
        <f t="shared" si="138"/>
        <v>0.48889607658635464</v>
      </c>
      <c r="K143" s="50">
        <f t="shared" si="138"/>
        <v>0.17865233476803882</v>
      </c>
      <c r="L143" s="50" t="e">
        <f t="shared" si="138"/>
        <v>#DIV/0!</v>
      </c>
      <c r="M143" s="50" t="e">
        <f t="shared" si="138"/>
        <v>#DIV/0!</v>
      </c>
      <c r="N143" s="50">
        <f t="shared" si="138"/>
        <v>7.3456717587152373E-2</v>
      </c>
      <c r="O143" s="50">
        <f t="shared" si="138"/>
        <v>0.22676533187079065</v>
      </c>
      <c r="P143" s="50">
        <f t="shared" si="138"/>
        <v>0.21594296431196719</v>
      </c>
      <c r="Q143" s="50">
        <f t="shared" ref="Q143:R143" si="139">(Q108+Q111)/Q$9</f>
        <v>0.15311325106677431</v>
      </c>
      <c r="R143" s="50">
        <f t="shared" si="139"/>
        <v>0.4798790322580645</v>
      </c>
      <c r="S143" s="50">
        <f t="shared" ref="S143" si="140">(S108+S111)/S$9</f>
        <v>0.17445102413252195</v>
      </c>
    </row>
    <row r="144" spans="3:19" x14ac:dyDescent="0.45">
      <c r="D144" s="45"/>
      <c r="G144" s="199">
        <f>SUM(G140:G143)</f>
        <v>1</v>
      </c>
      <c r="H144" s="199">
        <f t="shared" ref="H144:P144" si="141">SUM(H140:H143)</f>
        <v>1</v>
      </c>
      <c r="I144" s="199">
        <f t="shared" si="141"/>
        <v>1</v>
      </c>
      <c r="J144" s="199">
        <f t="shared" si="141"/>
        <v>1</v>
      </c>
      <c r="K144" s="199">
        <f t="shared" si="141"/>
        <v>1</v>
      </c>
      <c r="L144" s="199" t="e">
        <f t="shared" si="141"/>
        <v>#DIV/0!</v>
      </c>
      <c r="M144" s="199" t="e">
        <f t="shared" si="141"/>
        <v>#DIV/0!</v>
      </c>
      <c r="N144" s="199">
        <f t="shared" si="141"/>
        <v>1</v>
      </c>
      <c r="O144" s="199">
        <f t="shared" si="141"/>
        <v>1</v>
      </c>
      <c r="P144" s="199">
        <f t="shared" si="141"/>
        <v>1</v>
      </c>
      <c r="Q144" s="199">
        <f t="shared" ref="Q144:R144" si="142">SUM(Q140:Q143)</f>
        <v>1</v>
      </c>
      <c r="R144" s="199">
        <f t="shared" si="142"/>
        <v>1</v>
      </c>
      <c r="S144" s="199">
        <f t="shared" ref="S144" si="143">SUM(S140:S143)</f>
        <v>1</v>
      </c>
    </row>
    <row r="164" spans="4:5" x14ac:dyDescent="0.45">
      <c r="D164" s="14"/>
      <c r="E164" s="14"/>
    </row>
    <row r="165" spans="4:5" x14ac:dyDescent="0.45">
      <c r="D165" s="14"/>
      <c r="E165" s="14"/>
    </row>
    <row r="180" spans="4:5" x14ac:dyDescent="0.45">
      <c r="D180" s="14"/>
      <c r="E180" s="14"/>
    </row>
    <row r="181" spans="4:5" x14ac:dyDescent="0.45">
      <c r="D181" s="14"/>
      <c r="E181" s="14"/>
    </row>
    <row r="194" spans="4:18" x14ac:dyDescent="0.45">
      <c r="D194" s="14"/>
      <c r="E194" s="14"/>
      <c r="G194" s="9"/>
      <c r="H194" s="9"/>
      <c r="I194" s="9"/>
      <c r="J194" s="9"/>
      <c r="K194" s="9"/>
      <c r="L194" s="9"/>
      <c r="M194" s="9"/>
      <c r="N194" s="9"/>
      <c r="O194" s="9"/>
      <c r="P194" s="9"/>
      <c r="Q194" s="9"/>
      <c r="R194" s="9"/>
    </row>
    <row r="195" spans="4:18" x14ac:dyDescent="0.45">
      <c r="D195" s="45"/>
      <c r="G195" s="9"/>
    </row>
  </sheetData>
  <protectedRanges>
    <protectedRange sqref="G7 G6:J6 H85:P86 G86 G97:R97 G87:P88 Q85:R88 M6:R6 G14:R16 G74:R74 G68:R72 G4:S4 G76:S76" name="Range1_7"/>
  </protectedRanges>
  <mergeCells count="7">
    <mergeCell ref="C4:C9"/>
    <mergeCell ref="D112:D114"/>
    <mergeCell ref="C124:C131"/>
    <mergeCell ref="C13:C78"/>
    <mergeCell ref="C82:C101"/>
    <mergeCell ref="C104:C121"/>
    <mergeCell ref="D116:D120"/>
  </mergeCells>
  <conditionalFormatting sqref="G77:S77">
    <cfRule type="cellIs" dxfId="7" priority="65" operator="lessThan">
      <formula>3000</formula>
    </cfRule>
  </conditionalFormatting>
  <conditionalFormatting sqref="G115:R119">
    <cfRule type="expression" dxfId="6" priority="2">
      <formula>G$77&lt;3000</formula>
    </cfRule>
  </conditionalFormatting>
  <conditionalFormatting sqref="G124:S124">
    <cfRule type="expression" dxfId="5" priority="70">
      <formula>G$77&lt;3000</formula>
    </cfRule>
  </conditionalFormatting>
  <conditionalFormatting sqref="G125:S125">
    <cfRule type="containsText" dxfId="4" priority="13" operator="containsText" text="C">
      <formula>NOT(ISERROR(SEARCH("C",G125)))</formula>
    </cfRule>
    <cfRule type="containsText" dxfId="3" priority="14" operator="containsText" text="D">
      <formula>NOT(ISERROR(SEARCH("D",G125)))</formula>
    </cfRule>
    <cfRule type="containsText" dxfId="2" priority="15" operator="containsText" text="B">
      <formula>NOT(ISERROR(SEARCH("B",G125)))</formula>
    </cfRule>
    <cfRule type="containsText" dxfId="1" priority="16" operator="containsText" text="A">
      <formula>NOT(ISERROR(SEARCH("A",G125)))</formula>
    </cfRule>
  </conditionalFormatting>
  <conditionalFormatting sqref="S115:S119">
    <cfRule type="expression" dxfId="0" priority="1">
      <formula>S$77&lt;3000</formula>
    </cfRule>
  </conditionalFormatting>
  <printOptions horizontalCentered="1"/>
  <pageMargins left="0.70866141732283472" right="0.70866141732283472" top="1.1023622047244095" bottom="0.74803149606299213" header="0.31496062992125984" footer="0.31496062992125984"/>
  <pageSetup paperSize="8" scale="40" orientation="landscape" r:id="rId1"/>
  <headerFooter scaleWithDoc="0">
    <oddHeader>&amp;L&amp;G&amp;C&amp;18&amp;A 
Apr 2012 - Mar 2013&amp;R&amp;G</oddHeader>
    <oddFooter>&amp;L&amp;F&amp;CCODC Water Balance&amp;R&amp;D</oddFooter>
  </headerFooter>
  <drawing r:id="rId2"/>
  <legacy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486E-3304-4019-B665-4E44E51CAB0C}">
  <dimension ref="B1:T64"/>
  <sheetViews>
    <sheetView topLeftCell="A4" zoomScale="70" zoomScaleNormal="70" workbookViewId="0">
      <selection activeCell="H28" sqref="H28"/>
    </sheetView>
  </sheetViews>
  <sheetFormatPr defaultRowHeight="14.25" x14ac:dyDescent="0.45"/>
  <cols>
    <col min="2" max="2" width="21.3984375" customWidth="1"/>
    <col min="3" max="3" width="18.59765625" customWidth="1"/>
    <col min="4" max="4" width="19.73046875" customWidth="1"/>
    <col min="5" max="5" width="16.86328125" customWidth="1"/>
    <col min="6" max="6" width="18.9296875" customWidth="1"/>
    <col min="7" max="7" width="20.6640625" customWidth="1"/>
    <col min="8" max="8" width="15.265625" customWidth="1"/>
    <col min="12" max="12" width="21.3984375" customWidth="1"/>
    <col min="13" max="13" width="17" bestFit="1" customWidth="1"/>
    <col min="14" max="14" width="13.3984375" bestFit="1" customWidth="1"/>
    <col min="15" max="15" width="9.265625" bestFit="1" customWidth="1"/>
    <col min="16" max="16" width="14.33203125" bestFit="1" customWidth="1"/>
    <col min="17" max="17" width="10.33203125" bestFit="1" customWidth="1"/>
    <col min="18" max="18" width="22.19921875" bestFit="1" customWidth="1"/>
    <col min="19" max="19" width="16.59765625" bestFit="1" customWidth="1"/>
    <col min="20" max="20" width="10.73046875" bestFit="1" customWidth="1"/>
  </cols>
  <sheetData>
    <row r="1" spans="2:20" ht="15" customHeight="1" x14ac:dyDescent="0.45"/>
    <row r="2" spans="2:20" ht="15" customHeight="1" x14ac:dyDescent="0.45"/>
    <row r="3" spans="2:20" ht="21" x14ac:dyDescent="0.65">
      <c r="B3" s="67" t="s">
        <v>162</v>
      </c>
      <c r="C3" s="67" t="s">
        <v>167</v>
      </c>
      <c r="D3" s="67" t="s">
        <v>168</v>
      </c>
      <c r="L3" s="61"/>
      <c r="M3" s="60"/>
      <c r="N3" s="60"/>
      <c r="O3" s="60"/>
      <c r="P3" s="60"/>
      <c r="Q3" s="60"/>
      <c r="R3" s="60"/>
      <c r="S3" s="60"/>
      <c r="T3" s="60"/>
    </row>
    <row r="4" spans="2:20" ht="15" customHeight="1" x14ac:dyDescent="0.45">
      <c r="B4" s="68" t="s">
        <v>163</v>
      </c>
      <c r="C4" s="79">
        <f>((50*6)+(50*2)+100)/1000</f>
        <v>0.5</v>
      </c>
      <c r="D4" s="78" t="s">
        <v>354</v>
      </c>
    </row>
    <row r="5" spans="2:20" ht="15" customHeight="1" x14ac:dyDescent="0.45">
      <c r="B5" s="68" t="s">
        <v>164</v>
      </c>
      <c r="C5" s="79">
        <f>+C4*6+1</f>
        <v>4</v>
      </c>
      <c r="D5" s="78" t="s">
        <v>355</v>
      </c>
    </row>
    <row r="6" spans="2:20" ht="15" customHeight="1" x14ac:dyDescent="0.45">
      <c r="B6" s="68" t="s">
        <v>165</v>
      </c>
      <c r="C6" s="79">
        <f>(30*60*180/1000/365)</f>
        <v>0.88767123287671235</v>
      </c>
      <c r="D6" s="78" t="s">
        <v>161</v>
      </c>
    </row>
    <row r="7" spans="2:20" ht="15" customHeight="1" x14ac:dyDescent="0.45">
      <c r="B7" s="68" t="s">
        <v>166</v>
      </c>
      <c r="C7" s="79">
        <f>(300*120*100)/1000/365</f>
        <v>9.8630136986301373</v>
      </c>
      <c r="D7" s="78" t="s">
        <v>169</v>
      </c>
    </row>
    <row r="8" spans="2:20" ht="15" customHeight="1" x14ac:dyDescent="0.45"/>
    <row r="10" spans="2:20" ht="16.149999999999999" thickBot="1" x14ac:dyDescent="0.5">
      <c r="B10" s="63" t="s">
        <v>353</v>
      </c>
      <c r="C10" s="64"/>
      <c r="D10" s="64"/>
      <c r="E10" s="64"/>
      <c r="F10" s="64"/>
      <c r="G10" s="64"/>
      <c r="H10" s="64"/>
    </row>
    <row r="11" spans="2:20" ht="16.5" thickBot="1" x14ac:dyDescent="0.5">
      <c r="B11" s="225" t="s">
        <v>146</v>
      </c>
      <c r="C11" s="226"/>
      <c r="D11" s="226"/>
      <c r="E11" s="226"/>
      <c r="F11" s="226"/>
      <c r="G11" s="226"/>
      <c r="H11" s="227"/>
    </row>
    <row r="12" spans="2:20" ht="38.25" customHeight="1" x14ac:dyDescent="0.5">
      <c r="B12" s="69" t="s">
        <v>147</v>
      </c>
      <c r="C12" s="70" t="s">
        <v>148</v>
      </c>
      <c r="D12" s="70" t="s">
        <v>149</v>
      </c>
      <c r="E12" s="70" t="s">
        <v>150</v>
      </c>
      <c r="F12" s="70" t="s">
        <v>357</v>
      </c>
      <c r="G12" s="70" t="s">
        <v>356</v>
      </c>
      <c r="H12" s="70" t="s">
        <v>151</v>
      </c>
    </row>
    <row r="13" spans="2:20" ht="15.75" x14ac:dyDescent="0.5">
      <c r="B13" s="67" t="s">
        <v>0</v>
      </c>
      <c r="C13" s="69" t="s">
        <v>23</v>
      </c>
      <c r="D13" s="69" t="s">
        <v>23</v>
      </c>
      <c r="E13" s="69" t="s">
        <v>23</v>
      </c>
      <c r="F13" s="71" t="s">
        <v>152</v>
      </c>
      <c r="G13" s="71" t="s">
        <v>152</v>
      </c>
      <c r="H13" s="71" t="s">
        <v>152</v>
      </c>
    </row>
    <row r="14" spans="2:20" x14ac:dyDescent="0.45">
      <c r="B14" s="68" t="s">
        <v>70</v>
      </c>
      <c r="C14" s="6">
        <v>6</v>
      </c>
      <c r="D14" s="6">
        <v>11</v>
      </c>
      <c r="E14" s="75">
        <f>SUM(C14:D14)</f>
        <v>17</v>
      </c>
      <c r="F14" s="76">
        <f>C14*$C$5*365</f>
        <v>8760</v>
      </c>
      <c r="G14" s="76">
        <f>D14*$C$4*365</f>
        <v>2007.5</v>
      </c>
      <c r="H14" s="76">
        <f t="shared" ref="H14:H16" si="0">SUM(F14:G14)</f>
        <v>10767.5</v>
      </c>
      <c r="J14" s="103"/>
    </row>
    <row r="15" spans="2:20" x14ac:dyDescent="0.45">
      <c r="B15" s="68" t="s">
        <v>71</v>
      </c>
      <c r="C15" s="6">
        <v>1</v>
      </c>
      <c r="D15" s="6">
        <v>10</v>
      </c>
      <c r="E15" s="75">
        <f t="shared" ref="E15:E22" si="1">SUM(C15:D15)</f>
        <v>11</v>
      </c>
      <c r="F15" s="76">
        <f t="shared" ref="F15:F22" si="2">C15*$C$5*365</f>
        <v>1460</v>
      </c>
      <c r="G15" s="76">
        <f t="shared" ref="G15:G22" si="3">D15*$C$4*365</f>
        <v>1825</v>
      </c>
      <c r="H15" s="76">
        <f t="shared" si="0"/>
        <v>3285</v>
      </c>
    </row>
    <row r="16" spans="2:20" x14ac:dyDescent="0.45">
      <c r="B16" s="68" t="s">
        <v>144</v>
      </c>
      <c r="C16" s="6">
        <v>3</v>
      </c>
      <c r="D16" s="6">
        <v>2</v>
      </c>
      <c r="E16" s="75">
        <f t="shared" si="1"/>
        <v>5</v>
      </c>
      <c r="F16" s="76">
        <f t="shared" si="2"/>
        <v>4380</v>
      </c>
      <c r="G16" s="76">
        <f t="shared" si="3"/>
        <v>365</v>
      </c>
      <c r="H16" s="76">
        <f t="shared" si="0"/>
        <v>4745</v>
      </c>
      <c r="J16" s="103"/>
    </row>
    <row r="17" spans="2:8" x14ac:dyDescent="0.45">
      <c r="B17" s="68" t="s">
        <v>153</v>
      </c>
      <c r="C17" s="6">
        <v>0</v>
      </c>
      <c r="D17" s="6">
        <v>3</v>
      </c>
      <c r="E17" s="75">
        <f t="shared" si="1"/>
        <v>3</v>
      </c>
      <c r="F17" s="76">
        <f t="shared" si="2"/>
        <v>0</v>
      </c>
      <c r="G17" s="76">
        <f t="shared" si="3"/>
        <v>547.5</v>
      </c>
      <c r="H17" s="76">
        <f>SUM(F17:G17)</f>
        <v>547.5</v>
      </c>
    </row>
    <row r="18" spans="2:8" x14ac:dyDescent="0.45">
      <c r="B18" s="68" t="s">
        <v>69</v>
      </c>
      <c r="C18" s="6">
        <v>0</v>
      </c>
      <c r="D18" s="6">
        <v>1</v>
      </c>
      <c r="E18" s="75">
        <f t="shared" si="1"/>
        <v>1</v>
      </c>
      <c r="F18" s="76">
        <f t="shared" si="2"/>
        <v>0</v>
      </c>
      <c r="G18" s="76">
        <f t="shared" si="3"/>
        <v>182.5</v>
      </c>
      <c r="H18" s="76">
        <f t="shared" ref="H18:H22" si="4">SUM(F18:G18)</f>
        <v>182.5</v>
      </c>
    </row>
    <row r="19" spans="2:8" x14ac:dyDescent="0.45">
      <c r="B19" s="68" t="s">
        <v>66</v>
      </c>
      <c r="C19" s="6">
        <v>1</v>
      </c>
      <c r="D19" s="6">
        <v>2</v>
      </c>
      <c r="E19" s="75">
        <f t="shared" si="1"/>
        <v>3</v>
      </c>
      <c r="F19" s="76">
        <f t="shared" si="2"/>
        <v>1460</v>
      </c>
      <c r="G19" s="76">
        <f t="shared" si="3"/>
        <v>365</v>
      </c>
      <c r="H19" s="76">
        <f t="shared" si="4"/>
        <v>1825</v>
      </c>
    </row>
    <row r="20" spans="2:8" x14ac:dyDescent="0.45">
      <c r="B20" s="68" t="s">
        <v>65</v>
      </c>
      <c r="C20" s="6">
        <v>0</v>
      </c>
      <c r="D20" s="6">
        <v>0</v>
      </c>
      <c r="E20" s="75">
        <f t="shared" si="1"/>
        <v>0</v>
      </c>
      <c r="F20" s="76">
        <f t="shared" si="2"/>
        <v>0</v>
      </c>
      <c r="G20" s="76">
        <f t="shared" si="3"/>
        <v>0</v>
      </c>
      <c r="H20" s="76">
        <f t="shared" si="4"/>
        <v>0</v>
      </c>
    </row>
    <row r="21" spans="2:8" x14ac:dyDescent="0.45">
      <c r="B21" s="68" t="s">
        <v>59</v>
      </c>
      <c r="C21" s="6">
        <v>2</v>
      </c>
      <c r="D21" s="6">
        <v>1</v>
      </c>
      <c r="E21" s="75">
        <f t="shared" si="1"/>
        <v>3</v>
      </c>
      <c r="F21" s="76">
        <f t="shared" si="2"/>
        <v>2920</v>
      </c>
      <c r="G21" s="76">
        <f t="shared" si="3"/>
        <v>182.5</v>
      </c>
      <c r="H21" s="76">
        <f t="shared" si="4"/>
        <v>3102.5</v>
      </c>
    </row>
    <row r="22" spans="2:8" x14ac:dyDescent="0.45">
      <c r="B22" s="68" t="s">
        <v>68</v>
      </c>
      <c r="C22" s="6">
        <v>0</v>
      </c>
      <c r="D22" s="6">
        <v>1</v>
      </c>
      <c r="E22" s="75">
        <f t="shared" si="1"/>
        <v>1</v>
      </c>
      <c r="F22" s="76">
        <f t="shared" si="2"/>
        <v>0</v>
      </c>
      <c r="G22" s="76">
        <f t="shared" si="3"/>
        <v>182.5</v>
      </c>
      <c r="H22" s="76">
        <f t="shared" si="4"/>
        <v>182.5</v>
      </c>
    </row>
    <row r="23" spans="2:8" x14ac:dyDescent="0.45">
      <c r="H23" s="104">
        <f>SUM(H14:H22)</f>
        <v>24637.5</v>
      </c>
    </row>
    <row r="24" spans="2:8" ht="14.65" thickBot="1" x14ac:dyDescent="0.5">
      <c r="B24" s="64"/>
      <c r="C24" s="64"/>
      <c r="D24" s="64"/>
      <c r="E24" s="64"/>
      <c r="F24" s="64"/>
      <c r="G24" s="64"/>
      <c r="H24" s="64"/>
    </row>
    <row r="25" spans="2:8" ht="16.5" thickBot="1" x14ac:dyDescent="0.5">
      <c r="B25" s="225" t="s">
        <v>154</v>
      </c>
      <c r="C25" s="226"/>
      <c r="D25" s="226"/>
      <c r="E25" s="226"/>
      <c r="F25" s="226"/>
      <c r="G25" s="226"/>
      <c r="H25" s="227"/>
    </row>
    <row r="26" spans="2:8" ht="31.5" x14ac:dyDescent="0.5">
      <c r="B26" s="70" t="s">
        <v>0</v>
      </c>
      <c r="C26" s="70" t="s">
        <v>155</v>
      </c>
      <c r="D26" s="70" t="s">
        <v>156</v>
      </c>
      <c r="E26" s="70" t="s">
        <v>157</v>
      </c>
      <c r="F26" s="70" t="s">
        <v>158</v>
      </c>
      <c r="G26" s="70" t="s">
        <v>159</v>
      </c>
      <c r="H26" s="70" t="s">
        <v>160</v>
      </c>
    </row>
    <row r="27" spans="2:8" ht="15.75" x14ac:dyDescent="0.5">
      <c r="B27" s="70" t="s">
        <v>147</v>
      </c>
      <c r="C27" s="69" t="s">
        <v>23</v>
      </c>
      <c r="D27" s="69" t="s">
        <v>23</v>
      </c>
      <c r="E27" s="69" t="s">
        <v>23</v>
      </c>
      <c r="F27" s="71" t="s">
        <v>152</v>
      </c>
      <c r="G27" s="71" t="s">
        <v>152</v>
      </c>
      <c r="H27" s="71" t="s">
        <v>152</v>
      </c>
    </row>
    <row r="28" spans="2:8" x14ac:dyDescent="0.45">
      <c r="B28" s="68" t="s">
        <v>70</v>
      </c>
      <c r="C28" s="6">
        <v>22</v>
      </c>
      <c r="D28" s="6">
        <v>4</v>
      </c>
      <c r="E28" s="75">
        <f>SUM(C28:D28)</f>
        <v>26</v>
      </c>
      <c r="F28" s="76">
        <f>C28*$C$6*365</f>
        <v>7128</v>
      </c>
      <c r="G28" s="76">
        <f>D28*$C$7*365</f>
        <v>14400</v>
      </c>
      <c r="H28" s="77">
        <f>SUM(F28:G28)</f>
        <v>21528</v>
      </c>
    </row>
    <row r="29" spans="2:8" x14ac:dyDescent="0.45">
      <c r="B29" s="68" t="s">
        <v>71</v>
      </c>
      <c r="C29" s="185">
        <v>28</v>
      </c>
      <c r="D29" s="6">
        <v>3</v>
      </c>
      <c r="E29" s="75">
        <f t="shared" ref="E29:E36" si="5">SUM(C29:D29)</f>
        <v>31</v>
      </c>
      <c r="F29" s="76">
        <f t="shared" ref="F29:F36" si="6">C29*$C$6*365</f>
        <v>9072</v>
      </c>
      <c r="G29" s="76">
        <f t="shared" ref="G29:G36" si="7">D29*$C$7*365</f>
        <v>10800</v>
      </c>
      <c r="H29" s="77">
        <f t="shared" ref="H29:H36" si="8">SUM(F29:G29)</f>
        <v>19872</v>
      </c>
    </row>
    <row r="30" spans="2:8" x14ac:dyDescent="0.45">
      <c r="B30" s="68" t="s">
        <v>144</v>
      </c>
      <c r="C30" s="6">
        <v>9</v>
      </c>
      <c r="D30" s="6">
        <v>1</v>
      </c>
      <c r="E30" s="75">
        <f t="shared" si="5"/>
        <v>10</v>
      </c>
      <c r="F30" s="76">
        <f t="shared" si="6"/>
        <v>2916</v>
      </c>
      <c r="G30" s="76">
        <f t="shared" si="7"/>
        <v>3600</v>
      </c>
      <c r="H30" s="77">
        <f t="shared" si="8"/>
        <v>6516</v>
      </c>
    </row>
    <row r="31" spans="2:8" x14ac:dyDescent="0.45">
      <c r="B31" s="68" t="s">
        <v>153</v>
      </c>
      <c r="C31" s="6">
        <v>3</v>
      </c>
      <c r="D31" s="6">
        <v>0</v>
      </c>
      <c r="E31" s="75">
        <f t="shared" si="5"/>
        <v>3</v>
      </c>
      <c r="F31" s="76">
        <f t="shared" si="6"/>
        <v>972.00000000000011</v>
      </c>
      <c r="G31" s="76">
        <f t="shared" si="7"/>
        <v>0</v>
      </c>
      <c r="H31" s="77">
        <f t="shared" si="8"/>
        <v>972.00000000000011</v>
      </c>
    </row>
    <row r="32" spans="2:8" x14ac:dyDescent="0.45">
      <c r="B32" s="68" t="s">
        <v>69</v>
      </c>
      <c r="C32" s="6">
        <v>7</v>
      </c>
      <c r="D32" s="6">
        <v>0</v>
      </c>
      <c r="E32" s="75">
        <f t="shared" si="5"/>
        <v>7</v>
      </c>
      <c r="F32" s="76">
        <f t="shared" si="6"/>
        <v>2268</v>
      </c>
      <c r="G32" s="76">
        <f t="shared" si="7"/>
        <v>0</v>
      </c>
      <c r="H32" s="77">
        <f t="shared" si="8"/>
        <v>2268</v>
      </c>
    </row>
    <row r="33" spans="2:8" x14ac:dyDescent="0.45">
      <c r="B33" s="68" t="s">
        <v>66</v>
      </c>
      <c r="C33" s="6">
        <v>10</v>
      </c>
      <c r="D33" s="6">
        <v>0</v>
      </c>
      <c r="E33" s="75">
        <f t="shared" si="5"/>
        <v>10</v>
      </c>
      <c r="F33" s="76">
        <f t="shared" si="6"/>
        <v>3240</v>
      </c>
      <c r="G33" s="76">
        <f t="shared" si="7"/>
        <v>0</v>
      </c>
      <c r="H33" s="77">
        <f t="shared" si="8"/>
        <v>3240</v>
      </c>
    </row>
    <row r="34" spans="2:8" x14ac:dyDescent="0.45">
      <c r="B34" s="68" t="s">
        <v>65</v>
      </c>
      <c r="C34" s="6">
        <v>2</v>
      </c>
      <c r="D34" s="6">
        <v>0</v>
      </c>
      <c r="E34" s="75">
        <f t="shared" si="5"/>
        <v>2</v>
      </c>
      <c r="F34" s="76">
        <f t="shared" si="6"/>
        <v>648</v>
      </c>
      <c r="G34" s="76">
        <f t="shared" si="7"/>
        <v>0</v>
      </c>
      <c r="H34" s="77">
        <f t="shared" si="8"/>
        <v>648</v>
      </c>
    </row>
    <row r="35" spans="2:8" x14ac:dyDescent="0.45">
      <c r="B35" s="68" t="s">
        <v>59</v>
      </c>
      <c r="C35" s="6">
        <v>3</v>
      </c>
      <c r="D35" s="6">
        <v>0</v>
      </c>
      <c r="E35" s="75">
        <f t="shared" si="5"/>
        <v>3</v>
      </c>
      <c r="F35" s="76">
        <f t="shared" si="6"/>
        <v>972.00000000000011</v>
      </c>
      <c r="G35" s="76">
        <f t="shared" si="7"/>
        <v>0</v>
      </c>
      <c r="H35" s="77">
        <f t="shared" si="8"/>
        <v>972.00000000000011</v>
      </c>
    </row>
    <row r="36" spans="2:8" x14ac:dyDescent="0.45">
      <c r="B36" s="68" t="s">
        <v>68</v>
      </c>
      <c r="C36" s="6">
        <v>1</v>
      </c>
      <c r="D36" s="6">
        <v>0</v>
      </c>
      <c r="E36" s="75">
        <f t="shared" si="5"/>
        <v>1</v>
      </c>
      <c r="F36" s="76">
        <f t="shared" si="6"/>
        <v>324</v>
      </c>
      <c r="G36" s="76">
        <f t="shared" si="7"/>
        <v>0</v>
      </c>
      <c r="H36" s="77">
        <f t="shared" si="8"/>
        <v>324</v>
      </c>
    </row>
    <row r="37" spans="2:8" ht="16.149999999999999" thickBot="1" x14ac:dyDescent="0.5">
      <c r="B37" s="65"/>
      <c r="C37" s="72"/>
      <c r="D37" s="72"/>
      <c r="E37" s="73"/>
      <c r="F37" s="72">
        <f t="shared" ref="F37:H37" si="9">SUM(F28:F36)</f>
        <v>27540</v>
      </c>
      <c r="G37" s="72">
        <f t="shared" si="9"/>
        <v>28800</v>
      </c>
      <c r="H37" s="74">
        <f t="shared" si="9"/>
        <v>56340</v>
      </c>
    </row>
    <row r="38" spans="2:8" x14ac:dyDescent="0.45">
      <c r="B38" s="64"/>
      <c r="C38" s="64"/>
      <c r="D38" s="64"/>
      <c r="E38" s="64"/>
      <c r="F38" s="64"/>
      <c r="G38" s="64"/>
      <c r="H38" s="64"/>
    </row>
    <row r="39" spans="2:8" x14ac:dyDescent="0.45">
      <c r="C39" s="66"/>
      <c r="D39" s="66"/>
      <c r="E39" s="66"/>
      <c r="F39" s="66"/>
      <c r="G39" s="66"/>
      <c r="H39" s="66">
        <f>30*60*180/1000</f>
        <v>324</v>
      </c>
    </row>
    <row r="40" spans="2:8" x14ac:dyDescent="0.45">
      <c r="C40" s="66"/>
      <c r="D40" s="66"/>
      <c r="E40" s="66"/>
      <c r="F40" s="66"/>
      <c r="G40" s="66"/>
      <c r="H40" s="66">
        <f>5*60*120*100/1000</f>
        <v>3600</v>
      </c>
    </row>
    <row r="42" spans="2:8" ht="14.65" thickBot="1" x14ac:dyDescent="0.5">
      <c r="B42" t="s">
        <v>352</v>
      </c>
    </row>
    <row r="43" spans="2:8" x14ac:dyDescent="0.45">
      <c r="B43" s="186" t="s">
        <v>346</v>
      </c>
      <c r="C43" s="187"/>
    </row>
    <row r="44" spans="2:8" x14ac:dyDescent="0.45">
      <c r="B44" s="188" t="s">
        <v>347</v>
      </c>
      <c r="C44" s="189" t="s">
        <v>348</v>
      </c>
    </row>
    <row r="45" spans="2:8" x14ac:dyDescent="0.45">
      <c r="B45" s="188" t="s">
        <v>258</v>
      </c>
      <c r="C45" s="189">
        <v>5</v>
      </c>
    </row>
    <row r="46" spans="2:8" x14ac:dyDescent="0.45">
      <c r="B46" s="188" t="s">
        <v>260</v>
      </c>
      <c r="C46" s="189">
        <v>3</v>
      </c>
    </row>
    <row r="47" spans="2:8" x14ac:dyDescent="0.45">
      <c r="B47" s="188" t="s">
        <v>261</v>
      </c>
      <c r="C47" s="189">
        <v>3</v>
      </c>
    </row>
    <row r="48" spans="2:8" x14ac:dyDescent="0.45">
      <c r="B48" s="188" t="s">
        <v>262</v>
      </c>
      <c r="C48" s="189">
        <v>3</v>
      </c>
    </row>
    <row r="49" spans="2:3" x14ac:dyDescent="0.45">
      <c r="B49" s="188" t="s">
        <v>263</v>
      </c>
      <c r="C49" s="189">
        <v>2</v>
      </c>
    </row>
    <row r="50" spans="2:3" x14ac:dyDescent="0.45">
      <c r="B50" s="188" t="s">
        <v>264</v>
      </c>
      <c r="C50" s="189">
        <v>18</v>
      </c>
    </row>
    <row r="51" spans="2:3" x14ac:dyDescent="0.45">
      <c r="B51" s="188" t="s">
        <v>349</v>
      </c>
      <c r="C51" s="189">
        <v>1</v>
      </c>
    </row>
    <row r="52" spans="2:3" ht="14.65" thickBot="1" x14ac:dyDescent="0.5">
      <c r="B52" s="190" t="s">
        <v>266</v>
      </c>
      <c r="C52" s="191">
        <v>17</v>
      </c>
    </row>
    <row r="53" spans="2:3" ht="14.65" thickBot="1" x14ac:dyDescent="0.5"/>
    <row r="54" spans="2:3" x14ac:dyDescent="0.45">
      <c r="B54" s="186" t="s">
        <v>350</v>
      </c>
      <c r="C54" s="187"/>
    </row>
    <row r="55" spans="2:3" x14ac:dyDescent="0.45">
      <c r="B55" s="188" t="s">
        <v>347</v>
      </c>
      <c r="C55" s="189" t="s">
        <v>348</v>
      </c>
    </row>
    <row r="56" spans="2:3" x14ac:dyDescent="0.45">
      <c r="B56" s="188" t="s">
        <v>258</v>
      </c>
      <c r="C56" s="189">
        <v>10</v>
      </c>
    </row>
    <row r="57" spans="2:3" x14ac:dyDescent="0.45">
      <c r="B57" s="188" t="s">
        <v>351</v>
      </c>
      <c r="C57" s="189">
        <v>2</v>
      </c>
    </row>
    <row r="58" spans="2:3" x14ac:dyDescent="0.45">
      <c r="B58" s="188" t="s">
        <v>260</v>
      </c>
      <c r="C58" s="189">
        <v>3</v>
      </c>
    </row>
    <row r="59" spans="2:3" x14ac:dyDescent="0.45">
      <c r="B59" s="188" t="s">
        <v>261</v>
      </c>
      <c r="C59" s="189">
        <v>10</v>
      </c>
    </row>
    <row r="60" spans="2:3" x14ac:dyDescent="0.45">
      <c r="B60" s="188" t="s">
        <v>262</v>
      </c>
      <c r="C60" s="189">
        <v>3</v>
      </c>
    </row>
    <row r="61" spans="2:3" x14ac:dyDescent="0.45">
      <c r="B61" s="188" t="s">
        <v>263</v>
      </c>
      <c r="C61" s="189">
        <v>1</v>
      </c>
    </row>
    <row r="62" spans="2:3" x14ac:dyDescent="0.45">
      <c r="B62" s="188" t="s">
        <v>264</v>
      </c>
      <c r="C62" s="189">
        <v>26</v>
      </c>
    </row>
    <row r="63" spans="2:3" x14ac:dyDescent="0.45">
      <c r="B63" s="188" t="s">
        <v>349</v>
      </c>
      <c r="C63" s="189">
        <v>7</v>
      </c>
    </row>
    <row r="64" spans="2:3" ht="14.65" thickBot="1" x14ac:dyDescent="0.5">
      <c r="B64" s="190" t="s">
        <v>266</v>
      </c>
      <c r="C64" s="191">
        <v>55</v>
      </c>
    </row>
  </sheetData>
  <mergeCells count="2">
    <mergeCell ref="B11:H11"/>
    <mergeCell ref="B25:H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BA0D-C143-4DDE-A8C8-039231A5C62C}">
  <dimension ref="B2:O178"/>
  <sheetViews>
    <sheetView zoomScale="85" zoomScaleNormal="85" workbookViewId="0">
      <selection activeCell="H3" sqref="H3"/>
    </sheetView>
  </sheetViews>
  <sheetFormatPr defaultRowHeight="14.25" x14ac:dyDescent="0.45"/>
  <cols>
    <col min="2" max="2" width="17.796875" bestFit="1" customWidth="1"/>
    <col min="3" max="3" width="18.53125" customWidth="1"/>
    <col min="4" max="4" width="21.33203125" customWidth="1"/>
    <col min="5" max="5" width="12.06640625" customWidth="1"/>
    <col min="6" max="6" width="18.6640625" customWidth="1"/>
    <col min="7" max="7" width="25.265625" customWidth="1"/>
    <col min="8" max="8" width="15.33203125" customWidth="1"/>
    <col min="11" max="11" width="22.06640625" bestFit="1" customWidth="1"/>
    <col min="12" max="12" width="17" bestFit="1" customWidth="1"/>
    <col min="13" max="13" width="17.53125" bestFit="1" customWidth="1"/>
    <col min="14" max="14" width="17.1328125" bestFit="1" customWidth="1"/>
    <col min="15" max="15" width="20.86328125" bestFit="1" customWidth="1"/>
    <col min="16" max="16" width="17.53125" bestFit="1" customWidth="1"/>
    <col min="17" max="17" width="17.1328125" bestFit="1" customWidth="1"/>
    <col min="18" max="18" width="17.53125" bestFit="1" customWidth="1"/>
    <col min="19" max="19" width="17.1328125" bestFit="1" customWidth="1"/>
    <col min="20" max="20" width="17.53125" bestFit="1" customWidth="1"/>
    <col min="21" max="21" width="17.1328125" bestFit="1" customWidth="1"/>
    <col min="22" max="22" width="17.53125" bestFit="1" customWidth="1"/>
    <col min="23" max="23" width="17.1328125" bestFit="1" customWidth="1"/>
    <col min="24" max="24" width="17.53125" bestFit="1" customWidth="1"/>
    <col min="25" max="25" width="17.1328125" bestFit="1" customWidth="1"/>
    <col min="26" max="26" width="17.53125" bestFit="1" customWidth="1"/>
    <col min="27" max="27" width="17.1328125" bestFit="1" customWidth="1"/>
    <col min="28" max="28" width="22.19921875" bestFit="1" customWidth="1"/>
    <col min="29" max="29" width="21.796875" bestFit="1" customWidth="1"/>
  </cols>
  <sheetData>
    <row r="2" spans="2:15" x14ac:dyDescent="0.45">
      <c r="B2" t="s">
        <v>170</v>
      </c>
    </row>
    <row r="3" spans="2:15" ht="28.9" thickBot="1" x14ac:dyDescent="0.5">
      <c r="B3" s="145" t="s">
        <v>176</v>
      </c>
      <c r="C3" s="146" t="s">
        <v>171</v>
      </c>
      <c r="D3" s="146" t="s">
        <v>172</v>
      </c>
      <c r="E3" s="146" t="s">
        <v>173</v>
      </c>
      <c r="F3" s="146" t="s">
        <v>174</v>
      </c>
      <c r="G3" s="147" t="s">
        <v>175</v>
      </c>
      <c r="H3" s="146" t="s">
        <v>272</v>
      </c>
      <c r="M3" s="151" t="s">
        <v>358</v>
      </c>
    </row>
    <row r="4" spans="2:15" ht="14.65" thickBot="1" x14ac:dyDescent="0.5">
      <c r="B4" s="143" t="s">
        <v>144</v>
      </c>
      <c r="C4" s="142" t="s">
        <v>183</v>
      </c>
      <c r="D4" s="142" t="s">
        <v>183</v>
      </c>
      <c r="E4" s="142">
        <v>1</v>
      </c>
      <c r="F4" s="142">
        <v>1</v>
      </c>
      <c r="G4" s="144">
        <v>1</v>
      </c>
      <c r="H4" s="160">
        <f>ABS(Table1[[#This Row],[WaterDemUnits]]-Table1[[#This Row],[WaterSUIPs]])</f>
        <v>0</v>
      </c>
      <c r="K4" s="151" t="s">
        <v>176</v>
      </c>
      <c r="L4" s="151" t="s">
        <v>359</v>
      </c>
      <c r="M4" t="s">
        <v>126</v>
      </c>
      <c r="N4" t="s">
        <v>233</v>
      </c>
      <c r="O4" t="s">
        <v>333</v>
      </c>
    </row>
    <row r="5" spans="2:15" ht="14.65" thickBot="1" x14ac:dyDescent="0.5">
      <c r="B5" s="143" t="s">
        <v>144</v>
      </c>
      <c r="C5" s="142" t="s">
        <v>183</v>
      </c>
      <c r="D5" s="142" t="s">
        <v>183</v>
      </c>
      <c r="E5" s="142">
        <v>25</v>
      </c>
      <c r="F5" s="142">
        <v>47</v>
      </c>
      <c r="G5" s="144">
        <v>47</v>
      </c>
      <c r="H5" s="142">
        <f>ABS(Table1[[#This Row],[WaterDemUnits]]-Table1[[#This Row],[WaterSUIPs]])</f>
        <v>0</v>
      </c>
      <c r="K5" t="s">
        <v>144</v>
      </c>
      <c r="L5" t="s">
        <v>179</v>
      </c>
      <c r="M5">
        <v>5</v>
      </c>
      <c r="N5">
        <v>5</v>
      </c>
      <c r="O5">
        <v>5</v>
      </c>
    </row>
    <row r="6" spans="2:15" ht="14.65" thickBot="1" x14ac:dyDescent="0.5">
      <c r="B6" s="143" t="s">
        <v>144</v>
      </c>
      <c r="C6" s="142" t="s">
        <v>183</v>
      </c>
      <c r="D6" s="142" t="s">
        <v>247</v>
      </c>
      <c r="E6" s="142">
        <v>14</v>
      </c>
      <c r="F6" s="142">
        <v>14</v>
      </c>
      <c r="G6" s="144">
        <v>14</v>
      </c>
      <c r="H6" s="142">
        <f>ABS(Table1[[#This Row],[WaterDemUnits]]-Table1[[#This Row],[WaterSUIPs]])</f>
        <v>0</v>
      </c>
      <c r="K6" t="s">
        <v>144</v>
      </c>
      <c r="L6" t="s">
        <v>252</v>
      </c>
      <c r="M6">
        <v>1204</v>
      </c>
      <c r="N6">
        <v>1353</v>
      </c>
      <c r="O6">
        <v>1353</v>
      </c>
    </row>
    <row r="7" spans="2:15" ht="14.65" thickBot="1" x14ac:dyDescent="0.5">
      <c r="B7" s="143" t="s">
        <v>144</v>
      </c>
      <c r="C7" s="142" t="s">
        <v>183</v>
      </c>
      <c r="D7" s="142" t="s">
        <v>183</v>
      </c>
      <c r="E7" s="142">
        <v>1</v>
      </c>
      <c r="F7" s="142">
        <v>2</v>
      </c>
      <c r="G7" s="144">
        <v>2</v>
      </c>
      <c r="H7" s="142">
        <f>ABS(Table1[[#This Row],[WaterDemUnits]]-Table1[[#This Row],[WaterSUIPs]])</f>
        <v>0</v>
      </c>
      <c r="K7" t="s">
        <v>144</v>
      </c>
      <c r="L7" t="s">
        <v>181</v>
      </c>
      <c r="M7">
        <v>16</v>
      </c>
      <c r="N7">
        <v>92</v>
      </c>
      <c r="O7">
        <v>92</v>
      </c>
    </row>
    <row r="8" spans="2:15" ht="14.65" thickBot="1" x14ac:dyDescent="0.5">
      <c r="B8" s="143" t="s">
        <v>144</v>
      </c>
      <c r="C8" s="142" t="s">
        <v>248</v>
      </c>
      <c r="D8" s="142" t="s">
        <v>249</v>
      </c>
      <c r="E8" s="142">
        <v>11</v>
      </c>
      <c r="F8" s="142">
        <v>24</v>
      </c>
      <c r="G8" s="144">
        <v>24</v>
      </c>
      <c r="H8" s="142">
        <f>ABS(Table1[[#This Row],[WaterDemUnits]]-Table1[[#This Row],[WaterSUIPs]])</f>
        <v>0</v>
      </c>
      <c r="K8" t="s">
        <v>144</v>
      </c>
      <c r="L8" t="s">
        <v>248</v>
      </c>
      <c r="M8">
        <v>127</v>
      </c>
      <c r="N8">
        <v>152</v>
      </c>
      <c r="O8">
        <v>158</v>
      </c>
    </row>
    <row r="9" spans="2:15" ht="14.65" thickBot="1" x14ac:dyDescent="0.5">
      <c r="B9" s="143" t="s">
        <v>144</v>
      </c>
      <c r="C9" s="142" t="s">
        <v>250</v>
      </c>
      <c r="D9" s="142" t="s">
        <v>250</v>
      </c>
      <c r="E9" s="142">
        <v>46</v>
      </c>
      <c r="F9" s="142">
        <v>46</v>
      </c>
      <c r="G9" s="144">
        <v>46</v>
      </c>
      <c r="H9" s="142">
        <f>ABS(Table1[[#This Row],[WaterDemUnits]]-Table1[[#This Row],[WaterSUIPs]])</f>
        <v>0</v>
      </c>
      <c r="K9" t="s">
        <v>144</v>
      </c>
      <c r="L9" t="s">
        <v>340</v>
      </c>
      <c r="M9">
        <v>61</v>
      </c>
      <c r="N9">
        <v>135</v>
      </c>
      <c r="O9">
        <v>135</v>
      </c>
    </row>
    <row r="10" spans="2:15" ht="14.65" thickBot="1" x14ac:dyDescent="0.5">
      <c r="B10" s="143" t="s">
        <v>144</v>
      </c>
      <c r="C10" s="142" t="s">
        <v>179</v>
      </c>
      <c r="D10" s="142" t="s">
        <v>179</v>
      </c>
      <c r="E10" s="142">
        <v>5</v>
      </c>
      <c r="F10" s="142">
        <v>5</v>
      </c>
      <c r="G10" s="144">
        <v>5</v>
      </c>
      <c r="H10" s="142">
        <f>ABS(Table1[[#This Row],[WaterDemUnits]]-Table1[[#This Row],[WaterSUIPs]])</f>
        <v>0</v>
      </c>
      <c r="K10" t="s">
        <v>286</v>
      </c>
      <c r="M10">
        <v>1413</v>
      </c>
      <c r="N10">
        <v>1737</v>
      </c>
      <c r="O10">
        <v>1743</v>
      </c>
    </row>
    <row r="11" spans="2:15" ht="14.65" thickBot="1" x14ac:dyDescent="0.5">
      <c r="B11" s="143" t="s">
        <v>144</v>
      </c>
      <c r="C11" s="142" t="s">
        <v>181</v>
      </c>
      <c r="D11" s="142" t="s">
        <v>181</v>
      </c>
      <c r="E11" s="142">
        <v>2</v>
      </c>
      <c r="F11" s="142">
        <v>2</v>
      </c>
      <c r="G11" s="144">
        <v>2</v>
      </c>
      <c r="H11" s="142">
        <f>ABS(Table1[[#This Row],[WaterDemUnits]]-Table1[[#This Row],[WaterSUIPs]])</f>
        <v>0</v>
      </c>
      <c r="K11" t="s">
        <v>253</v>
      </c>
      <c r="L11" t="s">
        <v>252</v>
      </c>
      <c r="M11">
        <v>327</v>
      </c>
      <c r="N11">
        <v>422</v>
      </c>
      <c r="O11">
        <v>422</v>
      </c>
    </row>
    <row r="12" spans="2:15" ht="14.65" thickBot="1" x14ac:dyDescent="0.5">
      <c r="B12" s="143" t="s">
        <v>144</v>
      </c>
      <c r="C12" s="142" t="s">
        <v>248</v>
      </c>
      <c r="D12" s="142" t="s">
        <v>249</v>
      </c>
      <c r="E12" s="142">
        <v>1</v>
      </c>
      <c r="F12" s="142">
        <v>1</v>
      </c>
      <c r="G12" s="144">
        <v>1</v>
      </c>
      <c r="H12" s="142">
        <f>ABS(Table1[[#This Row],[WaterDemUnits]]-Table1[[#This Row],[WaterSUIPs]])</f>
        <v>0</v>
      </c>
      <c r="K12" t="s">
        <v>253</v>
      </c>
      <c r="L12" t="s">
        <v>181</v>
      </c>
      <c r="M12">
        <v>3</v>
      </c>
      <c r="N12">
        <v>3</v>
      </c>
      <c r="O12">
        <v>3</v>
      </c>
    </row>
    <row r="13" spans="2:15" ht="14.65" thickBot="1" x14ac:dyDescent="0.5">
      <c r="B13" s="143" t="s">
        <v>144</v>
      </c>
      <c r="C13" s="142" t="s">
        <v>183</v>
      </c>
      <c r="D13" s="142" t="s">
        <v>183</v>
      </c>
      <c r="E13" s="142">
        <v>2</v>
      </c>
      <c r="F13" s="142">
        <v>2</v>
      </c>
      <c r="G13" s="144">
        <v>2</v>
      </c>
      <c r="H13" s="142">
        <f>ABS(Table1[[#This Row],[WaterDemUnits]]-Table1[[#This Row],[WaterSUIPs]])</f>
        <v>0</v>
      </c>
      <c r="K13" t="s">
        <v>253</v>
      </c>
      <c r="L13" t="s">
        <v>248</v>
      </c>
      <c r="M13">
        <v>49</v>
      </c>
      <c r="N13">
        <v>81</v>
      </c>
      <c r="O13">
        <v>92</v>
      </c>
    </row>
    <row r="14" spans="2:15" ht="14.65" thickBot="1" x14ac:dyDescent="0.5">
      <c r="B14" s="143" t="s">
        <v>144</v>
      </c>
      <c r="C14" s="142" t="s">
        <v>248</v>
      </c>
      <c r="D14" s="142" t="s">
        <v>249</v>
      </c>
      <c r="E14" s="142">
        <v>2</v>
      </c>
      <c r="F14" s="142">
        <v>4</v>
      </c>
      <c r="G14" s="144">
        <v>4</v>
      </c>
      <c r="H14" s="142">
        <f>ABS(Table1[[#This Row],[WaterDemUnits]]-Table1[[#This Row],[WaterSUIPs]])</f>
        <v>0</v>
      </c>
      <c r="K14" t="s">
        <v>253</v>
      </c>
      <c r="L14" t="s">
        <v>340</v>
      </c>
      <c r="M14">
        <v>6</v>
      </c>
      <c r="N14">
        <v>10</v>
      </c>
      <c r="O14">
        <v>10</v>
      </c>
    </row>
    <row r="15" spans="2:15" ht="14.65" thickBot="1" x14ac:dyDescent="0.5">
      <c r="B15" s="143" t="s">
        <v>144</v>
      </c>
      <c r="C15" s="142" t="s">
        <v>183</v>
      </c>
      <c r="D15" s="142" t="s">
        <v>183</v>
      </c>
      <c r="E15" s="142">
        <v>4</v>
      </c>
      <c r="F15" s="142">
        <v>4</v>
      </c>
      <c r="G15" s="144">
        <v>4</v>
      </c>
      <c r="H15" s="142">
        <f>ABS(Table1[[#This Row],[WaterDemUnits]]-Table1[[#This Row],[WaterSUIPs]])</f>
        <v>0</v>
      </c>
      <c r="K15" t="s">
        <v>360</v>
      </c>
      <c r="M15">
        <v>385</v>
      </c>
      <c r="N15">
        <v>516</v>
      </c>
      <c r="O15">
        <v>527</v>
      </c>
    </row>
    <row r="16" spans="2:15" ht="14.65" thickBot="1" x14ac:dyDescent="0.5">
      <c r="B16" s="143" t="s">
        <v>144</v>
      </c>
      <c r="C16" s="142" t="s">
        <v>248</v>
      </c>
      <c r="D16" s="142" t="s">
        <v>249</v>
      </c>
      <c r="E16" s="142">
        <v>1</v>
      </c>
      <c r="F16" s="142">
        <v>1</v>
      </c>
      <c r="G16" s="144">
        <v>1</v>
      </c>
      <c r="H16" s="142">
        <f>ABS(Table1[[#This Row],[WaterDemUnits]]-Table1[[#This Row],[WaterSUIPs]])</f>
        <v>0</v>
      </c>
      <c r="K16" t="s">
        <v>59</v>
      </c>
      <c r="L16" t="s">
        <v>179</v>
      </c>
      <c r="M16">
        <v>1</v>
      </c>
      <c r="N16">
        <v>2</v>
      </c>
      <c r="O16">
        <v>2</v>
      </c>
    </row>
    <row r="17" spans="2:15" ht="14.65" thickBot="1" x14ac:dyDescent="0.5">
      <c r="B17" s="143" t="s">
        <v>144</v>
      </c>
      <c r="C17" s="142" t="s">
        <v>248</v>
      </c>
      <c r="D17" s="142" t="s">
        <v>249</v>
      </c>
      <c r="E17" s="142">
        <v>92</v>
      </c>
      <c r="F17" s="142">
        <v>92</v>
      </c>
      <c r="G17" s="144">
        <v>92</v>
      </c>
      <c r="H17" s="142">
        <f>ABS(Table1[[#This Row],[WaterDemUnits]]-Table1[[#This Row],[WaterSUIPs]])</f>
        <v>0</v>
      </c>
      <c r="K17" t="s">
        <v>59</v>
      </c>
      <c r="L17" t="s">
        <v>252</v>
      </c>
      <c r="M17">
        <v>179</v>
      </c>
      <c r="N17">
        <v>193</v>
      </c>
      <c r="O17">
        <v>193</v>
      </c>
    </row>
    <row r="18" spans="2:15" ht="14.65" thickBot="1" x14ac:dyDescent="0.5">
      <c r="B18" s="143" t="s">
        <v>144</v>
      </c>
      <c r="C18" s="142" t="s">
        <v>183</v>
      </c>
      <c r="D18" s="142" t="s">
        <v>183</v>
      </c>
      <c r="E18" s="142">
        <v>14</v>
      </c>
      <c r="F18" s="142">
        <v>65</v>
      </c>
      <c r="G18" s="144">
        <v>65</v>
      </c>
      <c r="H18" s="142">
        <f>ABS(Table1[[#This Row],[WaterDemUnits]]-Table1[[#This Row],[WaterSUIPs]])</f>
        <v>0</v>
      </c>
      <c r="K18" t="s">
        <v>59</v>
      </c>
      <c r="L18" t="s">
        <v>248</v>
      </c>
      <c r="M18">
        <v>26</v>
      </c>
      <c r="N18">
        <v>28</v>
      </c>
      <c r="O18">
        <v>86</v>
      </c>
    </row>
    <row r="19" spans="2:15" ht="14.65" thickBot="1" x14ac:dyDescent="0.5">
      <c r="B19" s="143" t="s">
        <v>144</v>
      </c>
      <c r="C19" s="142" t="s">
        <v>181</v>
      </c>
      <c r="D19" s="142" t="s">
        <v>251</v>
      </c>
      <c r="E19" s="142">
        <v>1</v>
      </c>
      <c r="F19" s="142">
        <v>1</v>
      </c>
      <c r="G19" s="144">
        <v>1</v>
      </c>
      <c r="H19" s="142">
        <f>ABS(Table1[[#This Row],[WaterDemUnits]]-Table1[[#This Row],[WaterSUIPs]])</f>
        <v>0</v>
      </c>
      <c r="K19" t="s">
        <v>59</v>
      </c>
      <c r="L19" t="s">
        <v>340</v>
      </c>
      <c r="M19">
        <v>10</v>
      </c>
      <c r="N19">
        <v>11</v>
      </c>
      <c r="O19">
        <v>11</v>
      </c>
    </row>
    <row r="20" spans="2:15" ht="14.65" thickBot="1" x14ac:dyDescent="0.5">
      <c r="B20" s="143" t="s">
        <v>144</v>
      </c>
      <c r="C20" s="142" t="s">
        <v>179</v>
      </c>
      <c r="D20" s="142" t="s">
        <v>252</v>
      </c>
      <c r="E20" s="142">
        <v>1166</v>
      </c>
      <c r="F20" s="142">
        <v>1278</v>
      </c>
      <c r="G20" s="144">
        <v>1278</v>
      </c>
      <c r="H20" s="142">
        <f>ABS(Table1[[#This Row],[WaterDemUnits]]-Table1[[#This Row],[WaterSUIPs]])</f>
        <v>0</v>
      </c>
      <c r="K20" t="s">
        <v>290</v>
      </c>
      <c r="M20">
        <v>216</v>
      </c>
      <c r="N20">
        <v>234</v>
      </c>
      <c r="O20">
        <v>292</v>
      </c>
    </row>
    <row r="21" spans="2:15" ht="14.65" thickBot="1" x14ac:dyDescent="0.5">
      <c r="B21" s="143" t="s">
        <v>144</v>
      </c>
      <c r="C21" s="142" t="s">
        <v>181</v>
      </c>
      <c r="D21" s="142" t="s">
        <v>251</v>
      </c>
      <c r="E21" s="142">
        <v>13</v>
      </c>
      <c r="F21" s="142">
        <v>89</v>
      </c>
      <c r="G21" s="144">
        <v>89</v>
      </c>
      <c r="H21" s="142">
        <f>ABS(Table1[[#This Row],[WaterDemUnits]]-Table1[[#This Row],[WaterSUIPs]])</f>
        <v>0</v>
      </c>
      <c r="K21" t="s">
        <v>66</v>
      </c>
      <c r="L21" t="s">
        <v>179</v>
      </c>
      <c r="M21">
        <v>1</v>
      </c>
      <c r="N21">
        <v>1</v>
      </c>
      <c r="O21">
        <v>1</v>
      </c>
    </row>
    <row r="22" spans="2:15" ht="14.65" thickBot="1" x14ac:dyDescent="0.5">
      <c r="B22" s="143" t="s">
        <v>144</v>
      </c>
      <c r="C22" s="142" t="s">
        <v>248</v>
      </c>
      <c r="D22" s="142" t="s">
        <v>248</v>
      </c>
      <c r="E22" s="142">
        <v>19</v>
      </c>
      <c r="F22" s="142">
        <v>28</v>
      </c>
      <c r="G22" s="144">
        <v>35</v>
      </c>
      <c r="H22" s="142">
        <f>ABS(Table1[[#This Row],[WaterDemUnits]]-Table1[[#This Row],[WaterSUIPs]])</f>
        <v>7</v>
      </c>
      <c r="K22" t="s">
        <v>66</v>
      </c>
      <c r="L22" t="s">
        <v>252</v>
      </c>
      <c r="M22">
        <v>962</v>
      </c>
      <c r="N22">
        <v>1010</v>
      </c>
      <c r="O22">
        <v>1010</v>
      </c>
    </row>
    <row r="23" spans="2:15" ht="14.65" thickBot="1" x14ac:dyDescent="0.5">
      <c r="B23" s="143" t="s">
        <v>144</v>
      </c>
      <c r="C23" s="142" t="s">
        <v>248</v>
      </c>
      <c r="D23" s="142" t="s">
        <v>248</v>
      </c>
      <c r="E23" s="142">
        <v>1</v>
      </c>
      <c r="F23" s="142">
        <v>2</v>
      </c>
      <c r="G23" s="144">
        <v>1</v>
      </c>
      <c r="H23" s="142">
        <f>ABS(Table1[[#This Row],[WaterDemUnits]]-Table1[[#This Row],[WaterSUIPs]])</f>
        <v>1</v>
      </c>
      <c r="K23" t="s">
        <v>66</v>
      </c>
      <c r="L23" t="s">
        <v>181</v>
      </c>
      <c r="M23">
        <v>25</v>
      </c>
      <c r="N23">
        <v>27</v>
      </c>
      <c r="O23">
        <v>27</v>
      </c>
    </row>
    <row r="24" spans="2:15" ht="14.65" thickBot="1" x14ac:dyDescent="0.5">
      <c r="B24" s="143" t="s">
        <v>144</v>
      </c>
      <c r="C24" s="142" t="s">
        <v>179</v>
      </c>
      <c r="D24" s="142" t="s">
        <v>252</v>
      </c>
      <c r="E24" s="142">
        <v>38</v>
      </c>
      <c r="F24" s="142">
        <v>75</v>
      </c>
      <c r="G24" s="144">
        <v>75</v>
      </c>
      <c r="H24" s="142">
        <f>ABS(Table1[[#This Row],[WaterDemUnits]]-Table1[[#This Row],[WaterSUIPs]])</f>
        <v>0</v>
      </c>
      <c r="K24" t="s">
        <v>66</v>
      </c>
      <c r="L24" t="s">
        <v>248</v>
      </c>
      <c r="M24">
        <v>40</v>
      </c>
      <c r="N24">
        <v>43</v>
      </c>
      <c r="O24">
        <v>139</v>
      </c>
    </row>
    <row r="25" spans="2:15" ht="14.65" thickBot="1" x14ac:dyDescent="0.5">
      <c r="B25" s="143" t="s">
        <v>253</v>
      </c>
      <c r="C25" s="142" t="s">
        <v>179</v>
      </c>
      <c r="D25" s="142" t="s">
        <v>252</v>
      </c>
      <c r="E25" s="142">
        <v>2</v>
      </c>
      <c r="F25" s="142">
        <v>2</v>
      </c>
      <c r="G25" s="144">
        <v>2</v>
      </c>
      <c r="H25" s="142">
        <f>ABS(Table1[[#This Row],[WaterDemUnits]]-Table1[[#This Row],[WaterSUIPs]])</f>
        <v>0</v>
      </c>
      <c r="K25" t="s">
        <v>66</v>
      </c>
      <c r="L25" t="s">
        <v>340</v>
      </c>
      <c r="M25">
        <v>9</v>
      </c>
      <c r="N25">
        <v>11</v>
      </c>
      <c r="O25">
        <v>11</v>
      </c>
    </row>
    <row r="26" spans="2:15" ht="14.65" thickBot="1" x14ac:dyDescent="0.5">
      <c r="B26" s="143" t="s">
        <v>253</v>
      </c>
      <c r="C26" s="142" t="s">
        <v>181</v>
      </c>
      <c r="D26" s="142" t="s">
        <v>181</v>
      </c>
      <c r="E26" s="142">
        <v>1</v>
      </c>
      <c r="F26" s="142">
        <v>1</v>
      </c>
      <c r="G26" s="144">
        <v>1</v>
      </c>
      <c r="H26" s="142">
        <f>ABS(Table1[[#This Row],[WaterDemUnits]]-Table1[[#This Row],[WaterSUIPs]])</f>
        <v>0</v>
      </c>
      <c r="K26" t="s">
        <v>319</v>
      </c>
      <c r="M26">
        <v>1037</v>
      </c>
      <c r="N26">
        <v>1092</v>
      </c>
      <c r="O26">
        <v>1188</v>
      </c>
    </row>
    <row r="27" spans="2:15" ht="14.65" thickBot="1" x14ac:dyDescent="0.5">
      <c r="B27" s="143" t="s">
        <v>253</v>
      </c>
      <c r="C27" s="142" t="s">
        <v>183</v>
      </c>
      <c r="D27" s="142" t="s">
        <v>247</v>
      </c>
      <c r="E27" s="142">
        <v>1</v>
      </c>
      <c r="F27" s="142">
        <v>1</v>
      </c>
      <c r="G27" s="144">
        <v>1</v>
      </c>
      <c r="H27" s="142">
        <f>ABS(Table1[[#This Row],[WaterDemUnits]]-Table1[[#This Row],[WaterSUIPs]])</f>
        <v>0</v>
      </c>
      <c r="K27" t="s">
        <v>67</v>
      </c>
      <c r="L27" t="s">
        <v>179</v>
      </c>
      <c r="M27">
        <v>2</v>
      </c>
      <c r="N27">
        <v>2</v>
      </c>
      <c r="O27">
        <v>2</v>
      </c>
    </row>
    <row r="28" spans="2:15" ht="14.65" thickBot="1" x14ac:dyDescent="0.5">
      <c r="B28" s="143" t="s">
        <v>253</v>
      </c>
      <c r="C28" s="142" t="s">
        <v>250</v>
      </c>
      <c r="D28" s="142" t="s">
        <v>250</v>
      </c>
      <c r="E28" s="142">
        <v>1</v>
      </c>
      <c r="F28" s="142">
        <v>1</v>
      </c>
      <c r="G28" s="144">
        <v>1</v>
      </c>
      <c r="H28" s="142">
        <f>ABS(Table1[[#This Row],[WaterDemUnits]]-Table1[[#This Row],[WaterSUIPs]])</f>
        <v>0</v>
      </c>
      <c r="K28" t="s">
        <v>67</v>
      </c>
      <c r="L28" t="s">
        <v>252</v>
      </c>
      <c r="M28">
        <v>1627</v>
      </c>
      <c r="N28">
        <v>1967</v>
      </c>
      <c r="O28">
        <v>1967</v>
      </c>
    </row>
    <row r="29" spans="2:15" ht="14.65" thickBot="1" x14ac:dyDescent="0.5">
      <c r="B29" s="143" t="s">
        <v>253</v>
      </c>
      <c r="C29" s="142" t="s">
        <v>179</v>
      </c>
      <c r="D29" s="142" t="s">
        <v>252</v>
      </c>
      <c r="E29" s="142">
        <v>8</v>
      </c>
      <c r="F29" s="142">
        <v>16</v>
      </c>
      <c r="G29" s="144">
        <v>16</v>
      </c>
      <c r="H29" s="142">
        <f>ABS(Table1[[#This Row],[WaterDemUnits]]-Table1[[#This Row],[WaterSUIPs]])</f>
        <v>0</v>
      </c>
      <c r="K29" t="s">
        <v>67</v>
      </c>
      <c r="L29" t="s">
        <v>181</v>
      </c>
      <c r="M29">
        <v>269</v>
      </c>
      <c r="N29">
        <v>403</v>
      </c>
      <c r="O29">
        <v>403</v>
      </c>
    </row>
    <row r="30" spans="2:15" ht="14.65" thickBot="1" x14ac:dyDescent="0.5">
      <c r="B30" s="143" t="s">
        <v>253</v>
      </c>
      <c r="C30" s="142" t="s">
        <v>179</v>
      </c>
      <c r="D30" s="142" t="s">
        <v>252</v>
      </c>
      <c r="E30" s="142">
        <v>1</v>
      </c>
      <c r="F30" s="142">
        <v>2</v>
      </c>
      <c r="G30" s="144">
        <v>2</v>
      </c>
      <c r="H30" s="142">
        <f>ABS(Table1[[#This Row],[WaterDemUnits]]-Table1[[#This Row],[WaterSUIPs]])</f>
        <v>0</v>
      </c>
      <c r="K30" t="s">
        <v>67</v>
      </c>
      <c r="L30" t="s">
        <v>248</v>
      </c>
      <c r="M30">
        <v>131</v>
      </c>
      <c r="N30">
        <v>184</v>
      </c>
      <c r="O30">
        <v>172</v>
      </c>
    </row>
    <row r="31" spans="2:15" ht="14.65" thickBot="1" x14ac:dyDescent="0.5">
      <c r="B31" s="143" t="s">
        <v>253</v>
      </c>
      <c r="C31" s="142" t="s">
        <v>250</v>
      </c>
      <c r="D31" s="142" t="s">
        <v>250</v>
      </c>
      <c r="E31" s="142">
        <v>30</v>
      </c>
      <c r="F31" s="142">
        <v>30</v>
      </c>
      <c r="G31" s="144">
        <v>30</v>
      </c>
      <c r="H31" s="142">
        <f>ABS(Table1[[#This Row],[WaterDemUnits]]-Table1[[#This Row],[WaterSUIPs]])</f>
        <v>0</v>
      </c>
      <c r="K31" t="s">
        <v>67</v>
      </c>
      <c r="L31" t="s">
        <v>340</v>
      </c>
      <c r="M31">
        <v>21</v>
      </c>
      <c r="N31">
        <v>26</v>
      </c>
      <c r="O31">
        <v>26</v>
      </c>
    </row>
    <row r="32" spans="2:15" ht="14.65" thickBot="1" x14ac:dyDescent="0.5">
      <c r="B32" s="143" t="s">
        <v>253</v>
      </c>
      <c r="C32" s="142" t="s">
        <v>183</v>
      </c>
      <c r="D32" s="142" t="s">
        <v>183</v>
      </c>
      <c r="E32" s="142">
        <v>5</v>
      </c>
      <c r="F32" s="142">
        <v>9</v>
      </c>
      <c r="G32" s="144">
        <v>9</v>
      </c>
      <c r="H32" s="142">
        <f>ABS(Table1[[#This Row],[WaterDemUnits]]-Table1[[#This Row],[WaterSUIPs]])</f>
        <v>0</v>
      </c>
      <c r="K32" t="s">
        <v>361</v>
      </c>
      <c r="M32">
        <v>2050</v>
      </c>
      <c r="N32">
        <v>2582</v>
      </c>
      <c r="O32">
        <v>2570</v>
      </c>
    </row>
    <row r="33" spans="2:15" ht="14.65" thickBot="1" x14ac:dyDescent="0.5">
      <c r="B33" s="143" t="s">
        <v>253</v>
      </c>
      <c r="C33" s="142" t="s">
        <v>181</v>
      </c>
      <c r="D33" s="142" t="s">
        <v>251</v>
      </c>
      <c r="E33" s="142">
        <v>2</v>
      </c>
      <c r="F33" s="142">
        <v>2</v>
      </c>
      <c r="G33" s="144">
        <v>2</v>
      </c>
      <c r="H33" s="142">
        <f>ABS(Table1[[#This Row],[WaterDemUnits]]-Table1[[#This Row],[WaterSUIPs]])</f>
        <v>0</v>
      </c>
      <c r="K33" t="s">
        <v>68</v>
      </c>
      <c r="L33" t="s">
        <v>252</v>
      </c>
      <c r="M33">
        <v>169</v>
      </c>
      <c r="N33">
        <v>173</v>
      </c>
      <c r="O33">
        <v>173</v>
      </c>
    </row>
    <row r="34" spans="2:15" ht="14.65" thickBot="1" x14ac:dyDescent="0.5">
      <c r="B34" s="143" t="s">
        <v>253</v>
      </c>
      <c r="C34" s="142" t="s">
        <v>248</v>
      </c>
      <c r="D34" s="142" t="s">
        <v>249</v>
      </c>
      <c r="E34" s="142">
        <v>33</v>
      </c>
      <c r="F34" s="142">
        <v>40</v>
      </c>
      <c r="G34" s="144">
        <v>40</v>
      </c>
      <c r="H34" s="142">
        <f>ABS(Table1[[#This Row],[WaterDemUnits]]-Table1[[#This Row],[WaterSUIPs]])</f>
        <v>0</v>
      </c>
      <c r="K34" t="s">
        <v>68</v>
      </c>
      <c r="L34" t="s">
        <v>181</v>
      </c>
      <c r="M34">
        <v>73</v>
      </c>
      <c r="N34">
        <v>77</v>
      </c>
      <c r="O34">
        <v>77</v>
      </c>
    </row>
    <row r="35" spans="2:15" ht="14.65" thickBot="1" x14ac:dyDescent="0.5">
      <c r="B35" s="143" t="s">
        <v>253</v>
      </c>
      <c r="C35" s="142" t="s">
        <v>250</v>
      </c>
      <c r="D35" s="142" t="s">
        <v>250</v>
      </c>
      <c r="E35" s="142">
        <v>1</v>
      </c>
      <c r="F35" s="142">
        <v>1</v>
      </c>
      <c r="G35" s="144">
        <v>1</v>
      </c>
      <c r="H35" s="142">
        <f>ABS(Table1[[#This Row],[WaterDemUnits]]-Table1[[#This Row],[WaterSUIPs]])</f>
        <v>0</v>
      </c>
      <c r="K35" t="s">
        <v>68</v>
      </c>
      <c r="L35" t="s">
        <v>248</v>
      </c>
      <c r="M35">
        <v>2</v>
      </c>
      <c r="N35">
        <v>2</v>
      </c>
      <c r="O35">
        <v>2</v>
      </c>
    </row>
    <row r="36" spans="2:15" ht="14.65" thickBot="1" x14ac:dyDescent="0.5">
      <c r="B36" s="143" t="s">
        <v>253</v>
      </c>
      <c r="C36" s="142" t="s">
        <v>179</v>
      </c>
      <c r="D36" s="142" t="s">
        <v>252</v>
      </c>
      <c r="E36" s="142">
        <v>12</v>
      </c>
      <c r="F36" s="142">
        <v>26</v>
      </c>
      <c r="G36" s="144">
        <v>26</v>
      </c>
      <c r="H36" s="142">
        <f>ABS(Table1[[#This Row],[WaterDemUnits]]-Table1[[#This Row],[WaterSUIPs]])</f>
        <v>0</v>
      </c>
      <c r="K36" t="s">
        <v>68</v>
      </c>
      <c r="L36" t="s">
        <v>340</v>
      </c>
      <c r="M36">
        <v>5</v>
      </c>
      <c r="N36">
        <v>7</v>
      </c>
      <c r="O36">
        <v>7</v>
      </c>
    </row>
    <row r="37" spans="2:15" ht="14.65" thickBot="1" x14ac:dyDescent="0.5">
      <c r="B37" s="143" t="s">
        <v>253</v>
      </c>
      <c r="C37" s="142" t="s">
        <v>248</v>
      </c>
      <c r="D37" s="142" t="s">
        <v>248</v>
      </c>
      <c r="E37" s="142">
        <v>16</v>
      </c>
      <c r="F37" s="142">
        <v>41</v>
      </c>
      <c r="G37" s="144">
        <v>52</v>
      </c>
      <c r="H37" s="142">
        <f>ABS(Table1[[#This Row],[WaterDemUnits]]-Table1[[#This Row],[WaterSUIPs]])</f>
        <v>11</v>
      </c>
      <c r="K37" t="s">
        <v>320</v>
      </c>
      <c r="M37">
        <v>249</v>
      </c>
      <c r="N37">
        <v>259</v>
      </c>
      <c r="O37">
        <v>259</v>
      </c>
    </row>
    <row r="38" spans="2:15" ht="14.65" thickBot="1" x14ac:dyDescent="0.5">
      <c r="B38" s="143" t="s">
        <v>253</v>
      </c>
      <c r="C38" s="142" t="s">
        <v>179</v>
      </c>
      <c r="D38" s="142" t="s">
        <v>252</v>
      </c>
      <c r="E38" s="142">
        <v>304</v>
      </c>
      <c r="F38" s="142">
        <v>376</v>
      </c>
      <c r="G38" s="144">
        <v>376</v>
      </c>
      <c r="H38" s="142">
        <f>ABS(Table1[[#This Row],[WaterDemUnits]]-Table1[[#This Row],[WaterSUIPs]])</f>
        <v>0</v>
      </c>
      <c r="K38" t="s">
        <v>70</v>
      </c>
      <c r="L38" t="s">
        <v>179</v>
      </c>
      <c r="M38">
        <v>12</v>
      </c>
      <c r="N38">
        <v>19</v>
      </c>
      <c r="O38">
        <v>19</v>
      </c>
    </row>
    <row r="39" spans="2:15" ht="14.65" thickBot="1" x14ac:dyDescent="0.5">
      <c r="B39" s="143" t="s">
        <v>59</v>
      </c>
      <c r="C39" s="142" t="s">
        <v>248</v>
      </c>
      <c r="D39" s="142" t="s">
        <v>248</v>
      </c>
      <c r="E39" s="142">
        <v>9</v>
      </c>
      <c r="F39" s="142">
        <v>10</v>
      </c>
      <c r="G39" s="144">
        <v>68</v>
      </c>
      <c r="H39" s="142">
        <f>ABS(Table1[[#This Row],[WaterDemUnits]]-Table1[[#This Row],[WaterSUIPs]])</f>
        <v>58</v>
      </c>
      <c r="K39" t="s">
        <v>70</v>
      </c>
      <c r="L39" t="s">
        <v>252</v>
      </c>
      <c r="M39">
        <v>4006</v>
      </c>
      <c r="N39">
        <v>6805</v>
      </c>
      <c r="O39">
        <v>6805</v>
      </c>
    </row>
    <row r="40" spans="2:15" ht="14.65" thickBot="1" x14ac:dyDescent="0.5">
      <c r="B40" s="143" t="s">
        <v>59</v>
      </c>
      <c r="C40" s="142" t="s">
        <v>248</v>
      </c>
      <c r="D40" s="142" t="s">
        <v>249</v>
      </c>
      <c r="E40" s="142">
        <v>16</v>
      </c>
      <c r="F40" s="142">
        <v>16</v>
      </c>
      <c r="G40" s="144">
        <v>16</v>
      </c>
      <c r="H40" s="142">
        <f>ABS(Table1[[#This Row],[WaterDemUnits]]-Table1[[#This Row],[WaterSUIPs]])</f>
        <v>0</v>
      </c>
      <c r="K40" t="s">
        <v>70</v>
      </c>
      <c r="L40" t="s">
        <v>181</v>
      </c>
      <c r="M40">
        <v>45</v>
      </c>
      <c r="N40">
        <v>53</v>
      </c>
      <c r="O40">
        <v>53</v>
      </c>
    </row>
    <row r="41" spans="2:15" ht="14.65" thickBot="1" x14ac:dyDescent="0.5">
      <c r="B41" s="143" t="s">
        <v>59</v>
      </c>
      <c r="C41" s="142" t="s">
        <v>183</v>
      </c>
      <c r="D41" s="142" t="s">
        <v>183</v>
      </c>
      <c r="E41" s="142">
        <v>10</v>
      </c>
      <c r="F41" s="142">
        <v>11</v>
      </c>
      <c r="G41" s="144">
        <v>11</v>
      </c>
      <c r="H41" s="142">
        <f>ABS(Table1[[#This Row],[WaterDemUnits]]-Table1[[#This Row],[WaterSUIPs]])</f>
        <v>0</v>
      </c>
      <c r="K41" t="s">
        <v>70</v>
      </c>
      <c r="L41" t="s">
        <v>248</v>
      </c>
      <c r="M41">
        <v>1009</v>
      </c>
      <c r="N41">
        <v>2684</v>
      </c>
      <c r="O41">
        <v>4193</v>
      </c>
    </row>
    <row r="42" spans="2:15" ht="14.65" thickBot="1" x14ac:dyDescent="0.5">
      <c r="B42" s="143" t="s">
        <v>59</v>
      </c>
      <c r="C42" s="142" t="s">
        <v>179</v>
      </c>
      <c r="D42" s="142" t="s">
        <v>252</v>
      </c>
      <c r="E42" s="142">
        <v>1</v>
      </c>
      <c r="F42" s="142">
        <v>2</v>
      </c>
      <c r="G42" s="144">
        <v>2</v>
      </c>
      <c r="H42" s="142">
        <f>ABS(Table1[[#This Row],[WaterDemUnits]]-Table1[[#This Row],[WaterSUIPs]])</f>
        <v>0</v>
      </c>
      <c r="K42" t="s">
        <v>70</v>
      </c>
      <c r="L42" t="s">
        <v>340</v>
      </c>
      <c r="M42">
        <v>506</v>
      </c>
      <c r="N42">
        <v>1375</v>
      </c>
      <c r="O42">
        <v>1375</v>
      </c>
    </row>
    <row r="43" spans="2:15" ht="14.65" thickBot="1" x14ac:dyDescent="0.5">
      <c r="B43" s="143" t="s">
        <v>59</v>
      </c>
      <c r="C43" s="142" t="s">
        <v>248</v>
      </c>
      <c r="D43" s="142" t="s">
        <v>249</v>
      </c>
      <c r="E43" s="142">
        <v>1</v>
      </c>
      <c r="F43" s="142">
        <v>2</v>
      </c>
      <c r="G43" s="144">
        <v>2</v>
      </c>
      <c r="H43" s="142">
        <f>ABS(Table1[[#This Row],[WaterDemUnits]]-Table1[[#This Row],[WaterSUIPs]])</f>
        <v>0</v>
      </c>
      <c r="K43" t="s">
        <v>301</v>
      </c>
      <c r="M43">
        <v>5578</v>
      </c>
      <c r="N43">
        <v>10936</v>
      </c>
      <c r="O43">
        <v>12445</v>
      </c>
    </row>
    <row r="44" spans="2:15" ht="14.65" thickBot="1" x14ac:dyDescent="0.5">
      <c r="B44" s="143" t="s">
        <v>59</v>
      </c>
      <c r="C44" s="142" t="s">
        <v>250</v>
      </c>
      <c r="D44" s="142" t="s">
        <v>250</v>
      </c>
      <c r="E44" s="142">
        <v>121</v>
      </c>
      <c r="F44" s="142">
        <v>121</v>
      </c>
      <c r="G44" s="144">
        <v>121</v>
      </c>
      <c r="H44" s="142">
        <f>ABS(Table1[[#This Row],[WaterDemUnits]]-Table1[[#This Row],[WaterSUIPs]])</f>
        <v>0</v>
      </c>
      <c r="K44" t="s">
        <v>71</v>
      </c>
      <c r="L44" t="s">
        <v>179</v>
      </c>
      <c r="M44">
        <v>13</v>
      </c>
      <c r="N44">
        <v>13</v>
      </c>
      <c r="O44">
        <v>13</v>
      </c>
    </row>
    <row r="45" spans="2:15" ht="14.65" thickBot="1" x14ac:dyDescent="0.5">
      <c r="B45" s="143" t="s">
        <v>59</v>
      </c>
      <c r="C45" s="142" t="s">
        <v>179</v>
      </c>
      <c r="D45" s="142" t="s">
        <v>252</v>
      </c>
      <c r="E45" s="142">
        <v>174</v>
      </c>
      <c r="F45" s="142">
        <v>183</v>
      </c>
      <c r="G45" s="144">
        <v>183</v>
      </c>
      <c r="H45" s="142">
        <f>ABS(Table1[[#This Row],[WaterDemUnits]]-Table1[[#This Row],[WaterSUIPs]])</f>
        <v>0</v>
      </c>
      <c r="K45" t="s">
        <v>71</v>
      </c>
      <c r="L45" t="s">
        <v>252</v>
      </c>
      <c r="M45">
        <v>5556</v>
      </c>
      <c r="N45">
        <v>6140</v>
      </c>
      <c r="O45">
        <v>6140</v>
      </c>
    </row>
    <row r="46" spans="2:15" ht="14.65" thickBot="1" x14ac:dyDescent="0.5">
      <c r="B46" s="143" t="s">
        <v>59</v>
      </c>
      <c r="C46" s="142" t="s">
        <v>179</v>
      </c>
      <c r="D46" s="142" t="s">
        <v>252</v>
      </c>
      <c r="E46" s="142">
        <v>4</v>
      </c>
      <c r="F46" s="142">
        <v>8</v>
      </c>
      <c r="G46" s="144">
        <v>8</v>
      </c>
      <c r="H46" s="142">
        <f>ABS(Table1[[#This Row],[WaterDemUnits]]-Table1[[#This Row],[WaterSUIPs]])</f>
        <v>0</v>
      </c>
      <c r="K46" t="s">
        <v>71</v>
      </c>
      <c r="L46" t="s">
        <v>181</v>
      </c>
      <c r="M46">
        <v>183</v>
      </c>
      <c r="N46">
        <v>372</v>
      </c>
      <c r="O46">
        <v>372</v>
      </c>
    </row>
    <row r="47" spans="2:15" ht="14.65" thickBot="1" x14ac:dyDescent="0.5">
      <c r="B47" s="143" t="s">
        <v>59</v>
      </c>
      <c r="C47" s="142" t="s">
        <v>179</v>
      </c>
      <c r="D47" s="142" t="s">
        <v>179</v>
      </c>
      <c r="E47" s="142">
        <v>1</v>
      </c>
      <c r="F47" s="142">
        <v>2</v>
      </c>
      <c r="G47" s="144">
        <v>2</v>
      </c>
      <c r="H47" s="142">
        <f>ABS(Table1[[#This Row],[WaterDemUnits]]-Table1[[#This Row],[WaterSUIPs]])</f>
        <v>0</v>
      </c>
      <c r="K47" t="s">
        <v>71</v>
      </c>
      <c r="L47" t="s">
        <v>248</v>
      </c>
      <c r="M47">
        <v>787</v>
      </c>
      <c r="N47">
        <v>1187</v>
      </c>
      <c r="O47">
        <v>1464</v>
      </c>
    </row>
    <row r="48" spans="2:15" ht="14.65" thickBot="1" x14ac:dyDescent="0.5">
      <c r="B48" s="143" t="s">
        <v>66</v>
      </c>
      <c r="C48" s="142" t="s">
        <v>248</v>
      </c>
      <c r="D48" s="142" t="s">
        <v>248</v>
      </c>
      <c r="E48" s="142">
        <v>4</v>
      </c>
      <c r="F48" s="142">
        <v>4</v>
      </c>
      <c r="G48" s="144">
        <v>100</v>
      </c>
      <c r="H48" s="142">
        <f>ABS(Table1[[#This Row],[WaterDemUnits]]-Table1[[#This Row],[WaterSUIPs]])</f>
        <v>96</v>
      </c>
      <c r="K48" t="s">
        <v>71</v>
      </c>
      <c r="L48" t="s">
        <v>340</v>
      </c>
      <c r="M48">
        <v>273</v>
      </c>
      <c r="N48">
        <v>589</v>
      </c>
      <c r="O48">
        <v>589</v>
      </c>
    </row>
    <row r="49" spans="2:15" ht="14.65" thickBot="1" x14ac:dyDescent="0.5">
      <c r="B49" s="143" t="s">
        <v>66</v>
      </c>
      <c r="C49" s="142" t="s">
        <v>181</v>
      </c>
      <c r="D49" s="142" t="s">
        <v>251</v>
      </c>
      <c r="E49" s="142">
        <v>21</v>
      </c>
      <c r="F49" s="142">
        <v>21</v>
      </c>
      <c r="G49" s="144">
        <v>21</v>
      </c>
      <c r="H49" s="142">
        <f>ABS(Table1[[#This Row],[WaterDemUnits]]-Table1[[#This Row],[WaterSUIPs]])</f>
        <v>0</v>
      </c>
      <c r="K49" t="s">
        <v>329</v>
      </c>
      <c r="M49">
        <v>6812</v>
      </c>
      <c r="N49">
        <v>8301</v>
      </c>
      <c r="O49">
        <v>8578</v>
      </c>
    </row>
    <row r="50" spans="2:15" ht="14.65" thickBot="1" x14ac:dyDescent="0.5">
      <c r="B50" s="143" t="s">
        <v>66</v>
      </c>
      <c r="C50" s="142" t="s">
        <v>248</v>
      </c>
      <c r="D50" s="142" t="s">
        <v>249</v>
      </c>
      <c r="E50" s="142">
        <v>2</v>
      </c>
      <c r="F50" s="142">
        <v>4</v>
      </c>
      <c r="G50" s="144">
        <v>4</v>
      </c>
      <c r="H50" s="142">
        <f>ABS(Table1[[#This Row],[WaterDemUnits]]-Table1[[#This Row],[WaterSUIPs]])</f>
        <v>0</v>
      </c>
      <c r="K50" t="s">
        <v>257</v>
      </c>
      <c r="M50">
        <v>17740</v>
      </c>
      <c r="N50">
        <v>25657</v>
      </c>
      <c r="O50">
        <v>27602</v>
      </c>
    </row>
    <row r="51" spans="2:15" ht="14.65" thickBot="1" x14ac:dyDescent="0.5">
      <c r="B51" s="143" t="s">
        <v>66</v>
      </c>
      <c r="C51" s="142" t="s">
        <v>248</v>
      </c>
      <c r="D51" s="142" t="s">
        <v>249</v>
      </c>
      <c r="E51" s="142">
        <v>32</v>
      </c>
      <c r="F51" s="142">
        <v>33</v>
      </c>
      <c r="G51" s="144">
        <v>33</v>
      </c>
      <c r="H51" s="142">
        <f>ABS(Table1[[#This Row],[WaterDemUnits]]-Table1[[#This Row],[WaterSUIPs]])</f>
        <v>0</v>
      </c>
    </row>
    <row r="52" spans="2:15" ht="14.65" thickBot="1" x14ac:dyDescent="0.5">
      <c r="B52" s="143" t="s">
        <v>66</v>
      </c>
      <c r="C52" s="142" t="s">
        <v>183</v>
      </c>
      <c r="D52" s="142" t="s">
        <v>247</v>
      </c>
      <c r="E52" s="142">
        <v>5</v>
      </c>
      <c r="F52" s="142">
        <v>5</v>
      </c>
      <c r="G52" s="144">
        <v>5</v>
      </c>
      <c r="H52" s="142">
        <f>ABS(Table1[[#This Row],[WaterDemUnits]]-Table1[[#This Row],[WaterSUIPs]])</f>
        <v>0</v>
      </c>
    </row>
    <row r="53" spans="2:15" ht="14.65" thickBot="1" x14ac:dyDescent="0.5">
      <c r="B53" s="143" t="s">
        <v>66</v>
      </c>
      <c r="C53" s="142" t="s">
        <v>179</v>
      </c>
      <c r="D53" s="142" t="s">
        <v>252</v>
      </c>
      <c r="E53" s="142">
        <v>927</v>
      </c>
      <c r="F53" s="142">
        <v>945</v>
      </c>
      <c r="G53" s="144">
        <v>945</v>
      </c>
      <c r="H53" s="142">
        <f>ABS(Table1[[#This Row],[WaterDemUnits]]-Table1[[#This Row],[WaterSUIPs]])</f>
        <v>0</v>
      </c>
    </row>
    <row r="54" spans="2:15" ht="14.65" thickBot="1" x14ac:dyDescent="0.5">
      <c r="B54" s="143" t="s">
        <v>66</v>
      </c>
      <c r="C54" s="142" t="s">
        <v>179</v>
      </c>
      <c r="D54" s="142" t="s">
        <v>252</v>
      </c>
      <c r="E54" s="142">
        <v>30</v>
      </c>
      <c r="F54" s="142">
        <v>60</v>
      </c>
      <c r="G54" s="144">
        <v>60</v>
      </c>
      <c r="H54" s="142">
        <f>ABS(Table1[[#This Row],[WaterDemUnits]]-Table1[[#This Row],[WaterSUIPs]])</f>
        <v>0</v>
      </c>
    </row>
    <row r="55" spans="2:15" ht="14.65" thickBot="1" x14ac:dyDescent="0.5">
      <c r="B55" s="143" t="s">
        <v>66</v>
      </c>
      <c r="C55" s="142" t="s">
        <v>179</v>
      </c>
      <c r="D55" s="142" t="s">
        <v>179</v>
      </c>
      <c r="E55" s="142">
        <v>1</v>
      </c>
      <c r="F55" s="142">
        <v>1</v>
      </c>
      <c r="G55" s="144">
        <v>1</v>
      </c>
      <c r="H55" s="142">
        <f>ABS(Table1[[#This Row],[WaterDemUnits]]-Table1[[#This Row],[WaterSUIPs]])</f>
        <v>0</v>
      </c>
    </row>
    <row r="56" spans="2:15" ht="14.65" thickBot="1" x14ac:dyDescent="0.5">
      <c r="B56" s="143" t="s">
        <v>66</v>
      </c>
      <c r="C56" s="142" t="s">
        <v>254</v>
      </c>
      <c r="D56" s="142" t="s">
        <v>254</v>
      </c>
      <c r="E56" s="142">
        <v>1</v>
      </c>
      <c r="F56" s="142">
        <v>1</v>
      </c>
      <c r="G56" s="144">
        <v>1</v>
      </c>
      <c r="H56" s="142">
        <f>ABS(Table1[[#This Row],[WaterDemUnits]]-Table1[[#This Row],[WaterSUIPs]])</f>
        <v>0</v>
      </c>
    </row>
    <row r="57" spans="2:15" ht="14.65" thickBot="1" x14ac:dyDescent="0.5">
      <c r="B57" s="143" t="s">
        <v>66</v>
      </c>
      <c r="C57" s="142" t="s">
        <v>183</v>
      </c>
      <c r="D57" s="142" t="s">
        <v>183</v>
      </c>
      <c r="E57" s="142">
        <v>1</v>
      </c>
      <c r="F57" s="142">
        <v>1</v>
      </c>
      <c r="G57" s="144">
        <v>1</v>
      </c>
      <c r="H57" s="142">
        <f>ABS(Table1[[#This Row],[WaterDemUnits]]-Table1[[#This Row],[WaterSUIPs]])</f>
        <v>0</v>
      </c>
    </row>
    <row r="58" spans="2:15" ht="14.65" thickBot="1" x14ac:dyDescent="0.5">
      <c r="B58" s="143" t="s">
        <v>66</v>
      </c>
      <c r="C58" s="142" t="s">
        <v>181</v>
      </c>
      <c r="D58" s="142" t="s">
        <v>181</v>
      </c>
      <c r="E58" s="142">
        <v>3</v>
      </c>
      <c r="F58" s="142">
        <v>4</v>
      </c>
      <c r="G58" s="144">
        <v>4</v>
      </c>
      <c r="H58" s="142">
        <f>ABS(Table1[[#This Row],[WaterDemUnits]]-Table1[[#This Row],[WaterSUIPs]])</f>
        <v>0</v>
      </c>
    </row>
    <row r="59" spans="2:15" ht="14.65" thickBot="1" x14ac:dyDescent="0.5">
      <c r="B59" s="143" t="s">
        <v>66</v>
      </c>
      <c r="C59" s="142" t="s">
        <v>183</v>
      </c>
      <c r="D59" s="142" t="s">
        <v>183</v>
      </c>
      <c r="E59" s="142">
        <v>3</v>
      </c>
      <c r="F59" s="142">
        <v>5</v>
      </c>
      <c r="G59" s="144">
        <v>5</v>
      </c>
      <c r="H59" s="142">
        <f>ABS(Table1[[#This Row],[WaterDemUnits]]-Table1[[#This Row],[WaterSUIPs]])</f>
        <v>0</v>
      </c>
    </row>
    <row r="60" spans="2:15" ht="14.65" thickBot="1" x14ac:dyDescent="0.5">
      <c r="B60" s="143" t="s">
        <v>66</v>
      </c>
      <c r="C60" s="142" t="s">
        <v>248</v>
      </c>
      <c r="D60" s="142" t="s">
        <v>249</v>
      </c>
      <c r="E60" s="142">
        <v>2</v>
      </c>
      <c r="F60" s="142">
        <v>2</v>
      </c>
      <c r="G60" s="144">
        <v>2</v>
      </c>
      <c r="H60" s="142">
        <f>ABS(Table1[[#This Row],[WaterDemUnits]]-Table1[[#This Row],[WaterSUIPs]])</f>
        <v>0</v>
      </c>
    </row>
    <row r="61" spans="2:15" ht="14.65" thickBot="1" x14ac:dyDescent="0.5">
      <c r="B61" s="143" t="s">
        <v>66</v>
      </c>
      <c r="C61" s="142" t="s">
        <v>250</v>
      </c>
      <c r="D61" s="142" t="s">
        <v>250</v>
      </c>
      <c r="E61" s="142">
        <v>288</v>
      </c>
      <c r="F61" s="142">
        <v>288</v>
      </c>
      <c r="G61" s="144">
        <v>288</v>
      </c>
      <c r="H61" s="142">
        <f>ABS(Table1[[#This Row],[WaterDemUnits]]-Table1[[#This Row],[WaterSUIPs]])</f>
        <v>0</v>
      </c>
    </row>
    <row r="62" spans="2:15" ht="14.65" thickBot="1" x14ac:dyDescent="0.5">
      <c r="B62" s="143" t="s">
        <v>66</v>
      </c>
      <c r="C62" s="142" t="s">
        <v>179</v>
      </c>
      <c r="D62" s="142" t="s">
        <v>252</v>
      </c>
      <c r="E62" s="142">
        <v>5</v>
      </c>
      <c r="F62" s="142">
        <v>5</v>
      </c>
      <c r="G62" s="144">
        <v>5</v>
      </c>
      <c r="H62" s="142">
        <f>ABS(Table1[[#This Row],[WaterDemUnits]]-Table1[[#This Row],[WaterSUIPs]])</f>
        <v>0</v>
      </c>
    </row>
    <row r="63" spans="2:15" ht="14.65" thickBot="1" x14ac:dyDescent="0.5">
      <c r="B63" s="143" t="s">
        <v>66</v>
      </c>
      <c r="C63" s="142" t="s">
        <v>181</v>
      </c>
      <c r="D63" s="142" t="s">
        <v>255</v>
      </c>
      <c r="E63" s="142">
        <v>1</v>
      </c>
      <c r="F63" s="142">
        <v>2</v>
      </c>
      <c r="G63" s="144">
        <v>2</v>
      </c>
      <c r="H63" s="142">
        <f>ABS(Table1[[#This Row],[WaterDemUnits]]-Table1[[#This Row],[WaterSUIPs]])</f>
        <v>0</v>
      </c>
    </row>
    <row r="64" spans="2:15" ht="14.65" thickBot="1" x14ac:dyDescent="0.5">
      <c r="B64" s="143" t="s">
        <v>67</v>
      </c>
      <c r="C64" s="142" t="s">
        <v>183</v>
      </c>
      <c r="D64" s="142" t="s">
        <v>256</v>
      </c>
      <c r="E64" s="142">
        <v>3</v>
      </c>
      <c r="F64" s="142">
        <v>3</v>
      </c>
      <c r="G64" s="144">
        <v>3</v>
      </c>
      <c r="H64" s="142">
        <f>ABS(Table1[[#This Row],[WaterDemUnits]]-Table1[[#This Row],[WaterSUIPs]])</f>
        <v>0</v>
      </c>
    </row>
    <row r="65" spans="2:8" ht="14.65" thickBot="1" x14ac:dyDescent="0.5">
      <c r="B65" s="143" t="s">
        <v>67</v>
      </c>
      <c r="C65" s="142" t="s">
        <v>248</v>
      </c>
      <c r="D65" s="142" t="s">
        <v>249</v>
      </c>
      <c r="E65" s="142">
        <v>1</v>
      </c>
      <c r="F65" s="142">
        <v>1</v>
      </c>
      <c r="G65" s="144">
        <v>1</v>
      </c>
      <c r="H65" s="142">
        <f>ABS(Table1[[#This Row],[WaterDemUnits]]-Table1[[#This Row],[WaterSUIPs]])</f>
        <v>0</v>
      </c>
    </row>
    <row r="66" spans="2:8" ht="14.65" thickBot="1" x14ac:dyDescent="0.5">
      <c r="B66" s="143" t="s">
        <v>67</v>
      </c>
      <c r="C66" s="142" t="s">
        <v>181</v>
      </c>
      <c r="D66" s="142" t="s">
        <v>251</v>
      </c>
      <c r="E66" s="142">
        <v>4</v>
      </c>
      <c r="F66" s="142">
        <v>5</v>
      </c>
      <c r="G66" s="144">
        <v>5</v>
      </c>
      <c r="H66" s="142">
        <f>ABS(Table1[[#This Row],[WaterDemUnits]]-Table1[[#This Row],[WaterSUIPs]])</f>
        <v>0</v>
      </c>
    </row>
    <row r="67" spans="2:8" ht="14.65" thickBot="1" x14ac:dyDescent="0.5">
      <c r="B67" s="143" t="s">
        <v>67</v>
      </c>
      <c r="C67" s="142" t="s">
        <v>181</v>
      </c>
      <c r="D67" s="142" t="s">
        <v>181</v>
      </c>
      <c r="E67" s="142">
        <v>12</v>
      </c>
      <c r="F67" s="142">
        <v>14</v>
      </c>
      <c r="G67" s="144">
        <v>14</v>
      </c>
      <c r="H67" s="142">
        <f>ABS(Table1[[#This Row],[WaterDemUnits]]-Table1[[#This Row],[WaterSUIPs]])</f>
        <v>0</v>
      </c>
    </row>
    <row r="68" spans="2:8" ht="14.65" thickBot="1" x14ac:dyDescent="0.5">
      <c r="B68" s="143" t="s">
        <v>67</v>
      </c>
      <c r="C68" s="142" t="s">
        <v>179</v>
      </c>
      <c r="D68" s="142" t="s">
        <v>252</v>
      </c>
      <c r="E68" s="142">
        <v>1</v>
      </c>
      <c r="F68" s="142">
        <v>1</v>
      </c>
      <c r="G68" s="144">
        <v>1</v>
      </c>
      <c r="H68" s="142">
        <f>ABS(Table1[[#This Row],[WaterDemUnits]]-Table1[[#This Row],[WaterSUIPs]])</f>
        <v>0</v>
      </c>
    </row>
    <row r="69" spans="2:8" ht="14.65" thickBot="1" x14ac:dyDescent="0.5">
      <c r="B69" s="143" t="s">
        <v>67</v>
      </c>
      <c r="C69" s="142" t="s">
        <v>179</v>
      </c>
      <c r="D69" s="142" t="s">
        <v>252</v>
      </c>
      <c r="E69" s="142">
        <v>1</v>
      </c>
      <c r="F69" s="142">
        <v>2</v>
      </c>
      <c r="G69" s="144">
        <v>2</v>
      </c>
      <c r="H69" s="142">
        <f>ABS(Table1[[#This Row],[WaterDemUnits]]-Table1[[#This Row],[WaterSUIPs]])</f>
        <v>0</v>
      </c>
    </row>
    <row r="70" spans="2:8" ht="14.65" thickBot="1" x14ac:dyDescent="0.5">
      <c r="B70" s="143" t="s">
        <v>67</v>
      </c>
      <c r="C70" s="142" t="s">
        <v>181</v>
      </c>
      <c r="D70" s="142" t="s">
        <v>255</v>
      </c>
      <c r="E70" s="142">
        <v>6</v>
      </c>
      <c r="F70" s="142">
        <v>12</v>
      </c>
      <c r="G70" s="144">
        <v>12</v>
      </c>
      <c r="H70" s="142">
        <f>ABS(Table1[[#This Row],[WaterDemUnits]]-Table1[[#This Row],[WaterSUIPs]])</f>
        <v>0</v>
      </c>
    </row>
    <row r="71" spans="2:8" ht="14.65" thickBot="1" x14ac:dyDescent="0.5">
      <c r="B71" s="143" t="s">
        <v>67</v>
      </c>
      <c r="C71" s="142" t="s">
        <v>248</v>
      </c>
      <c r="D71" s="142" t="s">
        <v>249</v>
      </c>
      <c r="E71" s="142">
        <v>1</v>
      </c>
      <c r="F71" s="142">
        <v>2</v>
      </c>
      <c r="G71" s="144">
        <v>2</v>
      </c>
      <c r="H71" s="142">
        <f>ABS(Table1[[#This Row],[WaterDemUnits]]-Table1[[#This Row],[WaterSUIPs]])</f>
        <v>0</v>
      </c>
    </row>
    <row r="72" spans="2:8" ht="14.65" thickBot="1" x14ac:dyDescent="0.5">
      <c r="B72" s="143" t="s">
        <v>67</v>
      </c>
      <c r="C72" s="142" t="s">
        <v>250</v>
      </c>
      <c r="D72" s="142" t="s">
        <v>250</v>
      </c>
      <c r="E72" s="142">
        <v>3</v>
      </c>
      <c r="F72" s="142">
        <v>3</v>
      </c>
      <c r="G72" s="144">
        <v>3</v>
      </c>
      <c r="H72" s="142">
        <f>ABS(Table1[[#This Row],[WaterDemUnits]]-Table1[[#This Row],[WaterSUIPs]])</f>
        <v>0</v>
      </c>
    </row>
    <row r="73" spans="2:8" ht="14.65" thickBot="1" x14ac:dyDescent="0.5">
      <c r="B73" s="143" t="s">
        <v>67</v>
      </c>
      <c r="C73" s="142" t="s">
        <v>181</v>
      </c>
      <c r="D73" s="142" t="s">
        <v>251</v>
      </c>
      <c r="E73" s="142">
        <v>1</v>
      </c>
      <c r="F73" s="142">
        <v>1</v>
      </c>
      <c r="G73" s="144">
        <v>1</v>
      </c>
      <c r="H73" s="142">
        <f>ABS(Table1[[#This Row],[WaterDemUnits]]-Table1[[#This Row],[WaterSUIPs]])</f>
        <v>0</v>
      </c>
    </row>
    <row r="74" spans="2:8" ht="14.65" thickBot="1" x14ac:dyDescent="0.5">
      <c r="B74" s="143" t="s">
        <v>67</v>
      </c>
      <c r="C74" s="142" t="s">
        <v>181</v>
      </c>
      <c r="D74" s="142" t="s">
        <v>181</v>
      </c>
      <c r="E74" s="142">
        <v>17</v>
      </c>
      <c r="F74" s="142">
        <v>18</v>
      </c>
      <c r="G74" s="144">
        <v>18</v>
      </c>
      <c r="H74" s="142">
        <f>ABS(Table1[[#This Row],[WaterDemUnits]]-Table1[[#This Row],[WaterSUIPs]])</f>
        <v>0</v>
      </c>
    </row>
    <row r="75" spans="2:8" ht="14.65" thickBot="1" x14ac:dyDescent="0.5">
      <c r="B75" s="143" t="s">
        <v>67</v>
      </c>
      <c r="C75" s="142" t="s">
        <v>183</v>
      </c>
      <c r="D75" s="142" t="s">
        <v>183</v>
      </c>
      <c r="E75" s="142">
        <v>6</v>
      </c>
      <c r="F75" s="142">
        <v>7</v>
      </c>
      <c r="G75" s="144">
        <v>7</v>
      </c>
      <c r="H75" s="142">
        <f>ABS(Table1[[#This Row],[WaterDemUnits]]-Table1[[#This Row],[WaterSUIPs]])</f>
        <v>0</v>
      </c>
    </row>
    <row r="76" spans="2:8" ht="14.65" thickBot="1" x14ac:dyDescent="0.5">
      <c r="B76" s="143" t="s">
        <v>67</v>
      </c>
      <c r="C76" s="142" t="s">
        <v>179</v>
      </c>
      <c r="D76" s="142" t="s">
        <v>252</v>
      </c>
      <c r="E76" s="142">
        <v>1</v>
      </c>
      <c r="F76" s="142">
        <v>2</v>
      </c>
      <c r="G76" s="144">
        <v>2</v>
      </c>
      <c r="H76" s="142">
        <f>ABS(Table1[[#This Row],[WaterDemUnits]]-Table1[[#This Row],[WaterSUIPs]])</f>
        <v>0</v>
      </c>
    </row>
    <row r="77" spans="2:8" ht="14.65" thickBot="1" x14ac:dyDescent="0.5">
      <c r="B77" s="143" t="s">
        <v>67</v>
      </c>
      <c r="C77" s="142" t="s">
        <v>183</v>
      </c>
      <c r="D77" s="142" t="s">
        <v>183</v>
      </c>
      <c r="E77" s="142">
        <v>3</v>
      </c>
      <c r="F77" s="142">
        <v>6</v>
      </c>
      <c r="G77" s="144">
        <v>6</v>
      </c>
      <c r="H77" s="142">
        <f>ABS(Table1[[#This Row],[WaterDemUnits]]-Table1[[#This Row],[WaterSUIPs]])</f>
        <v>0</v>
      </c>
    </row>
    <row r="78" spans="2:8" ht="14.65" thickBot="1" x14ac:dyDescent="0.5">
      <c r="B78" s="143" t="s">
        <v>67</v>
      </c>
      <c r="C78" s="142" t="s">
        <v>250</v>
      </c>
      <c r="D78" s="142" t="s">
        <v>250</v>
      </c>
      <c r="E78" s="142">
        <v>164</v>
      </c>
      <c r="F78" s="142">
        <v>164</v>
      </c>
      <c r="G78" s="144">
        <v>164</v>
      </c>
      <c r="H78" s="142">
        <f>ABS(Table1[[#This Row],[WaterDemUnits]]-Table1[[#This Row],[WaterSUIPs]])</f>
        <v>0</v>
      </c>
    </row>
    <row r="79" spans="2:8" ht="14.65" thickBot="1" x14ac:dyDescent="0.5">
      <c r="B79" s="143" t="s">
        <v>67</v>
      </c>
      <c r="C79" s="142" t="s">
        <v>179</v>
      </c>
      <c r="D79" s="142" t="s">
        <v>252</v>
      </c>
      <c r="E79" s="142">
        <v>1</v>
      </c>
      <c r="F79" s="142">
        <v>1</v>
      </c>
      <c r="G79" s="144">
        <v>1</v>
      </c>
      <c r="H79" s="142">
        <f>ABS(Table1[[#This Row],[WaterDemUnits]]-Table1[[#This Row],[WaterSUIPs]])</f>
        <v>0</v>
      </c>
    </row>
    <row r="80" spans="2:8" ht="14.65" thickBot="1" x14ac:dyDescent="0.5">
      <c r="B80" s="143" t="s">
        <v>67</v>
      </c>
      <c r="C80" s="142" t="s">
        <v>248</v>
      </c>
      <c r="D80" s="142" t="s">
        <v>249</v>
      </c>
      <c r="E80" s="142">
        <v>37</v>
      </c>
      <c r="F80" s="142">
        <v>74</v>
      </c>
      <c r="G80" s="144">
        <v>74</v>
      </c>
      <c r="H80" s="142">
        <f>ABS(Table1[[#This Row],[WaterDemUnits]]-Table1[[#This Row],[WaterSUIPs]])</f>
        <v>0</v>
      </c>
    </row>
    <row r="81" spans="2:8" ht="14.65" thickBot="1" x14ac:dyDescent="0.5">
      <c r="B81" s="143" t="s">
        <v>67</v>
      </c>
      <c r="C81" s="142" t="s">
        <v>179</v>
      </c>
      <c r="D81" s="142" t="s">
        <v>179</v>
      </c>
      <c r="E81" s="142">
        <v>2</v>
      </c>
      <c r="F81" s="142">
        <v>2</v>
      </c>
      <c r="G81" s="144">
        <v>2</v>
      </c>
      <c r="H81" s="142">
        <f>ABS(Table1[[#This Row],[WaterDemUnits]]-Table1[[#This Row],[WaterSUIPs]])</f>
        <v>0</v>
      </c>
    </row>
    <row r="82" spans="2:8" ht="14.65" thickBot="1" x14ac:dyDescent="0.5">
      <c r="B82" s="143" t="s">
        <v>67</v>
      </c>
      <c r="C82" s="142" t="s">
        <v>248</v>
      </c>
      <c r="D82" s="142" t="s">
        <v>248</v>
      </c>
      <c r="E82" s="142">
        <v>12</v>
      </c>
      <c r="F82" s="142">
        <v>13</v>
      </c>
      <c r="G82" s="144">
        <v>1</v>
      </c>
      <c r="H82" s="142">
        <f>ABS(Table1[[#This Row],[WaterDemUnits]]-Table1[[#This Row],[WaterSUIPs]])</f>
        <v>12</v>
      </c>
    </row>
    <row r="83" spans="2:8" ht="14.65" thickBot="1" x14ac:dyDescent="0.5">
      <c r="B83" s="143" t="s">
        <v>67</v>
      </c>
      <c r="C83" s="142" t="s">
        <v>181</v>
      </c>
      <c r="D83" s="142" t="s">
        <v>251</v>
      </c>
      <c r="E83" s="142">
        <v>229</v>
      </c>
      <c r="F83" s="142">
        <v>353</v>
      </c>
      <c r="G83" s="144">
        <v>353</v>
      </c>
      <c r="H83" s="142">
        <f>ABS(Table1[[#This Row],[WaterDemUnits]]-Table1[[#This Row],[WaterSUIPs]])</f>
        <v>0</v>
      </c>
    </row>
    <row r="84" spans="2:8" ht="14.65" thickBot="1" x14ac:dyDescent="0.5">
      <c r="B84" s="143" t="s">
        <v>67</v>
      </c>
      <c r="C84" s="142" t="s">
        <v>248</v>
      </c>
      <c r="D84" s="142" t="s">
        <v>249</v>
      </c>
      <c r="E84" s="142">
        <v>29</v>
      </c>
      <c r="F84" s="142">
        <v>38</v>
      </c>
      <c r="G84" s="144">
        <v>38</v>
      </c>
      <c r="H84" s="142">
        <f>ABS(Table1[[#This Row],[WaterDemUnits]]-Table1[[#This Row],[WaterSUIPs]])</f>
        <v>0</v>
      </c>
    </row>
    <row r="85" spans="2:8" ht="14.65" thickBot="1" x14ac:dyDescent="0.5">
      <c r="B85" s="143" t="s">
        <v>67</v>
      </c>
      <c r="C85" s="142" t="s">
        <v>248</v>
      </c>
      <c r="D85" s="142" t="s">
        <v>249</v>
      </c>
      <c r="E85" s="142">
        <v>47</v>
      </c>
      <c r="F85" s="142">
        <v>48</v>
      </c>
      <c r="G85" s="144">
        <v>48</v>
      </c>
      <c r="H85" s="142">
        <f>ABS(Table1[[#This Row],[WaterDemUnits]]-Table1[[#This Row],[WaterSUIPs]])</f>
        <v>0</v>
      </c>
    </row>
    <row r="86" spans="2:8" ht="14.65" thickBot="1" x14ac:dyDescent="0.5">
      <c r="B86" s="143" t="s">
        <v>67</v>
      </c>
      <c r="C86" s="142" t="s">
        <v>183</v>
      </c>
      <c r="D86" s="142" t="s">
        <v>247</v>
      </c>
      <c r="E86" s="142">
        <v>9</v>
      </c>
      <c r="F86" s="142">
        <v>10</v>
      </c>
      <c r="G86" s="144">
        <v>10</v>
      </c>
      <c r="H86" s="142">
        <f>ABS(Table1[[#This Row],[WaterDemUnits]]-Table1[[#This Row],[WaterSUIPs]])</f>
        <v>0</v>
      </c>
    </row>
    <row r="87" spans="2:8" ht="14.65" thickBot="1" x14ac:dyDescent="0.5">
      <c r="B87" s="143" t="s">
        <v>67</v>
      </c>
      <c r="C87" s="142" t="s">
        <v>179</v>
      </c>
      <c r="D87" s="142" t="s">
        <v>252</v>
      </c>
      <c r="E87" s="142">
        <v>1314</v>
      </c>
      <c r="F87" s="142">
        <v>1339</v>
      </c>
      <c r="G87" s="144">
        <v>1339</v>
      </c>
      <c r="H87" s="142">
        <f>ABS(Table1[[#This Row],[WaterDemUnits]]-Table1[[#This Row],[WaterSUIPs]])</f>
        <v>0</v>
      </c>
    </row>
    <row r="88" spans="2:8" ht="14.65" thickBot="1" x14ac:dyDescent="0.5">
      <c r="B88" s="143" t="s">
        <v>67</v>
      </c>
      <c r="C88" s="142" t="s">
        <v>248</v>
      </c>
      <c r="D88" s="142" t="s">
        <v>249</v>
      </c>
      <c r="E88" s="142">
        <v>4</v>
      </c>
      <c r="F88" s="142">
        <v>8</v>
      </c>
      <c r="G88" s="144">
        <v>8</v>
      </c>
      <c r="H88" s="142">
        <f>ABS(Table1[[#This Row],[WaterDemUnits]]-Table1[[#This Row],[WaterSUIPs]])</f>
        <v>0</v>
      </c>
    </row>
    <row r="89" spans="2:8" ht="14.65" thickBot="1" x14ac:dyDescent="0.5">
      <c r="B89" s="143" t="s">
        <v>67</v>
      </c>
      <c r="C89" s="142" t="s">
        <v>179</v>
      </c>
      <c r="D89" s="142" t="s">
        <v>252</v>
      </c>
      <c r="E89" s="142">
        <v>309</v>
      </c>
      <c r="F89" s="142">
        <v>622</v>
      </c>
      <c r="G89" s="144">
        <v>622</v>
      </c>
      <c r="H89" s="142">
        <f>ABS(Table1[[#This Row],[WaterDemUnits]]-Table1[[#This Row],[WaterSUIPs]])</f>
        <v>0</v>
      </c>
    </row>
    <row r="90" spans="2:8" ht="14.65" thickBot="1" x14ac:dyDescent="0.5">
      <c r="B90" s="143" t="s">
        <v>68</v>
      </c>
      <c r="C90" s="142" t="s">
        <v>248</v>
      </c>
      <c r="D90" s="142" t="s">
        <v>249</v>
      </c>
      <c r="E90" s="142">
        <v>1</v>
      </c>
      <c r="F90" s="142">
        <v>1</v>
      </c>
      <c r="G90" s="144">
        <v>1</v>
      </c>
      <c r="H90" s="142">
        <f>ABS(Table1[[#This Row],[WaterDemUnits]]-Table1[[#This Row],[WaterSUIPs]])</f>
        <v>0</v>
      </c>
    </row>
    <row r="91" spans="2:8" ht="14.65" thickBot="1" x14ac:dyDescent="0.5">
      <c r="B91" s="143" t="s">
        <v>68</v>
      </c>
      <c r="C91" s="142" t="s">
        <v>179</v>
      </c>
      <c r="D91" s="142" t="s">
        <v>252</v>
      </c>
      <c r="E91" s="142">
        <v>166</v>
      </c>
      <c r="F91" s="142">
        <v>167</v>
      </c>
      <c r="G91" s="144">
        <v>167</v>
      </c>
      <c r="H91" s="142">
        <f>ABS(Table1[[#This Row],[WaterDemUnits]]-Table1[[#This Row],[WaterSUIPs]])</f>
        <v>0</v>
      </c>
    </row>
    <row r="92" spans="2:8" ht="14.65" thickBot="1" x14ac:dyDescent="0.5">
      <c r="B92" s="143" t="s">
        <v>68</v>
      </c>
      <c r="C92" s="142" t="s">
        <v>250</v>
      </c>
      <c r="D92" s="142" t="s">
        <v>250</v>
      </c>
      <c r="E92" s="142">
        <v>45</v>
      </c>
      <c r="F92" s="142">
        <v>45</v>
      </c>
      <c r="G92" s="144">
        <v>45</v>
      </c>
      <c r="H92" s="142">
        <f>ABS(Table1[[#This Row],[WaterDemUnits]]-Table1[[#This Row],[WaterSUIPs]])</f>
        <v>0</v>
      </c>
    </row>
    <row r="93" spans="2:8" ht="14.65" thickBot="1" x14ac:dyDescent="0.5">
      <c r="B93" s="143" t="s">
        <v>68</v>
      </c>
      <c r="C93" s="142" t="s">
        <v>181</v>
      </c>
      <c r="D93" s="142" t="s">
        <v>251</v>
      </c>
      <c r="E93" s="142">
        <v>69</v>
      </c>
      <c r="F93" s="142">
        <v>70</v>
      </c>
      <c r="G93" s="144">
        <v>70</v>
      </c>
      <c r="H93" s="142">
        <f>ABS(Table1[[#This Row],[WaterDemUnits]]-Table1[[#This Row],[WaterSUIPs]])</f>
        <v>0</v>
      </c>
    </row>
    <row r="94" spans="2:8" ht="14.65" thickBot="1" x14ac:dyDescent="0.5">
      <c r="B94" s="143" t="s">
        <v>68</v>
      </c>
      <c r="C94" s="142" t="s">
        <v>250</v>
      </c>
      <c r="D94" s="142" t="s">
        <v>250</v>
      </c>
      <c r="E94" s="142">
        <v>1</v>
      </c>
      <c r="F94" s="142">
        <v>1</v>
      </c>
      <c r="G94" s="144">
        <v>1</v>
      </c>
      <c r="H94" s="142">
        <f>ABS(Table1[[#This Row],[WaterDemUnits]]-Table1[[#This Row],[WaterSUIPs]])</f>
        <v>0</v>
      </c>
    </row>
    <row r="95" spans="2:8" ht="14.65" thickBot="1" x14ac:dyDescent="0.5">
      <c r="B95" s="143" t="s">
        <v>68</v>
      </c>
      <c r="C95" s="142" t="s">
        <v>183</v>
      </c>
      <c r="D95" s="142" t="s">
        <v>183</v>
      </c>
      <c r="E95" s="142">
        <v>1</v>
      </c>
      <c r="F95" s="142">
        <v>1</v>
      </c>
      <c r="G95" s="144">
        <v>1</v>
      </c>
      <c r="H95" s="142">
        <f>ABS(Table1[[#This Row],[WaterDemUnits]]-Table1[[#This Row],[WaterSUIPs]])</f>
        <v>0</v>
      </c>
    </row>
    <row r="96" spans="2:8" ht="14.65" thickBot="1" x14ac:dyDescent="0.5">
      <c r="B96" s="143" t="s">
        <v>68</v>
      </c>
      <c r="C96" s="142" t="s">
        <v>181</v>
      </c>
      <c r="D96" s="142" t="s">
        <v>181</v>
      </c>
      <c r="E96" s="142">
        <v>1</v>
      </c>
      <c r="F96" s="142">
        <v>1</v>
      </c>
      <c r="G96" s="144">
        <v>1</v>
      </c>
      <c r="H96" s="142">
        <f>ABS(Table1[[#This Row],[WaterDemUnits]]-Table1[[#This Row],[WaterSUIPs]])</f>
        <v>0</v>
      </c>
    </row>
    <row r="97" spans="2:8" ht="14.65" thickBot="1" x14ac:dyDescent="0.5">
      <c r="B97" s="143" t="s">
        <v>68</v>
      </c>
      <c r="C97" s="142" t="s">
        <v>183</v>
      </c>
      <c r="D97" s="142" t="s">
        <v>183</v>
      </c>
      <c r="E97" s="142">
        <v>4</v>
      </c>
      <c r="F97" s="142">
        <v>6</v>
      </c>
      <c r="G97" s="144">
        <v>6</v>
      </c>
      <c r="H97" s="142">
        <f>ABS(Table1[[#This Row],[WaterDemUnits]]-Table1[[#This Row],[WaterSUIPs]])</f>
        <v>0</v>
      </c>
    </row>
    <row r="98" spans="2:8" ht="14.65" thickBot="1" x14ac:dyDescent="0.5">
      <c r="B98" s="143" t="s">
        <v>68</v>
      </c>
      <c r="C98" s="142" t="s">
        <v>248</v>
      </c>
      <c r="D98" s="142" t="s">
        <v>249</v>
      </c>
      <c r="E98" s="142">
        <v>1</v>
      </c>
      <c r="F98" s="142">
        <v>1</v>
      </c>
      <c r="G98" s="144">
        <v>1</v>
      </c>
      <c r="H98" s="142">
        <f>ABS(Table1[[#This Row],[WaterDemUnits]]-Table1[[#This Row],[WaterSUIPs]])</f>
        <v>0</v>
      </c>
    </row>
    <row r="99" spans="2:8" ht="14.65" thickBot="1" x14ac:dyDescent="0.5">
      <c r="B99" s="143" t="s">
        <v>68</v>
      </c>
      <c r="C99" s="142" t="s">
        <v>181</v>
      </c>
      <c r="D99" s="142" t="s">
        <v>255</v>
      </c>
      <c r="E99" s="142">
        <v>3</v>
      </c>
      <c r="F99" s="142">
        <v>6</v>
      </c>
      <c r="G99" s="144">
        <v>6</v>
      </c>
      <c r="H99" s="142">
        <f>ABS(Table1[[#This Row],[WaterDemUnits]]-Table1[[#This Row],[WaterSUIPs]])</f>
        <v>0</v>
      </c>
    </row>
    <row r="100" spans="2:8" ht="14.65" thickBot="1" x14ac:dyDescent="0.5">
      <c r="B100" s="143" t="s">
        <v>68</v>
      </c>
      <c r="C100" s="142" t="s">
        <v>179</v>
      </c>
      <c r="D100" s="142" t="s">
        <v>252</v>
      </c>
      <c r="E100" s="142">
        <v>3</v>
      </c>
      <c r="F100" s="142">
        <v>6</v>
      </c>
      <c r="G100" s="144">
        <v>6</v>
      </c>
      <c r="H100" s="142">
        <f>ABS(Table1[[#This Row],[WaterDemUnits]]-Table1[[#This Row],[WaterSUIPs]])</f>
        <v>0</v>
      </c>
    </row>
    <row r="101" spans="2:8" ht="14.65" thickBot="1" x14ac:dyDescent="0.5">
      <c r="B101" s="143" t="s">
        <v>70</v>
      </c>
      <c r="C101" s="142" t="s">
        <v>181</v>
      </c>
      <c r="D101" s="142" t="s">
        <v>255</v>
      </c>
      <c r="E101" s="142">
        <v>1</v>
      </c>
      <c r="F101" s="142">
        <v>2</v>
      </c>
      <c r="G101" s="144">
        <v>2</v>
      </c>
      <c r="H101" s="142">
        <f>ABS(Table1[[#This Row],[WaterDemUnits]]-Table1[[#This Row],[WaterSUIPs]])</f>
        <v>0</v>
      </c>
    </row>
    <row r="102" spans="2:8" ht="14.65" thickBot="1" x14ac:dyDescent="0.5">
      <c r="B102" s="143" t="s">
        <v>70</v>
      </c>
      <c r="C102" s="142" t="s">
        <v>248</v>
      </c>
      <c r="D102" s="142" t="s">
        <v>249</v>
      </c>
      <c r="E102" s="142">
        <v>82</v>
      </c>
      <c r="F102" s="142">
        <v>167</v>
      </c>
      <c r="G102" s="144">
        <v>167</v>
      </c>
      <c r="H102" s="142">
        <f>ABS(Table1[[#This Row],[WaterDemUnits]]-Table1[[#This Row],[WaterSUIPs]])</f>
        <v>0</v>
      </c>
    </row>
    <row r="103" spans="2:8" ht="14.65" thickBot="1" x14ac:dyDescent="0.5">
      <c r="B103" s="143" t="s">
        <v>70</v>
      </c>
      <c r="C103" s="142" t="s">
        <v>248</v>
      </c>
      <c r="D103" s="142" t="s">
        <v>249</v>
      </c>
      <c r="E103" s="142">
        <v>1</v>
      </c>
      <c r="F103" s="142">
        <v>2</v>
      </c>
      <c r="G103" s="144">
        <v>2</v>
      </c>
      <c r="H103" s="142">
        <f>ABS(Table1[[#This Row],[WaterDemUnits]]-Table1[[#This Row],[WaterSUIPs]])</f>
        <v>0</v>
      </c>
    </row>
    <row r="104" spans="2:8" ht="14.65" thickBot="1" x14ac:dyDescent="0.5">
      <c r="B104" s="143" t="s">
        <v>70</v>
      </c>
      <c r="C104" s="142" t="s">
        <v>179</v>
      </c>
      <c r="D104" s="142" t="s">
        <v>252</v>
      </c>
      <c r="E104" s="142">
        <v>698</v>
      </c>
      <c r="F104" s="142">
        <v>1472</v>
      </c>
      <c r="G104" s="144">
        <v>1472</v>
      </c>
      <c r="H104" s="142">
        <f>ABS(Table1[[#This Row],[WaterDemUnits]]-Table1[[#This Row],[WaterSUIPs]])</f>
        <v>0</v>
      </c>
    </row>
    <row r="105" spans="2:8" ht="14.65" thickBot="1" x14ac:dyDescent="0.5">
      <c r="B105" s="143" t="s">
        <v>70</v>
      </c>
      <c r="C105" s="142" t="s">
        <v>181</v>
      </c>
      <c r="D105" s="142" t="s">
        <v>255</v>
      </c>
      <c r="E105" s="142">
        <v>5</v>
      </c>
      <c r="F105" s="142">
        <v>10</v>
      </c>
      <c r="G105" s="144">
        <v>10</v>
      </c>
      <c r="H105" s="142">
        <f>ABS(Table1[[#This Row],[WaterDemUnits]]-Table1[[#This Row],[WaterSUIPs]])</f>
        <v>0</v>
      </c>
    </row>
    <row r="106" spans="2:8" ht="14.65" thickBot="1" x14ac:dyDescent="0.5">
      <c r="B106" s="143" t="s">
        <v>70</v>
      </c>
      <c r="C106" s="142" t="s">
        <v>250</v>
      </c>
      <c r="D106" s="142" t="s">
        <v>250</v>
      </c>
      <c r="E106" s="142">
        <v>1121</v>
      </c>
      <c r="F106" s="142">
        <v>1127</v>
      </c>
      <c r="G106" s="144">
        <v>1127</v>
      </c>
      <c r="H106" s="142">
        <f>ABS(Table1[[#This Row],[WaterDemUnits]]-Table1[[#This Row],[WaterSUIPs]])</f>
        <v>0</v>
      </c>
    </row>
    <row r="107" spans="2:8" ht="14.65" thickBot="1" x14ac:dyDescent="0.5">
      <c r="B107" s="143" t="s">
        <v>70</v>
      </c>
      <c r="C107" s="142" t="s">
        <v>250</v>
      </c>
      <c r="D107" s="142" t="s">
        <v>250</v>
      </c>
      <c r="E107" s="142">
        <v>2</v>
      </c>
      <c r="F107" s="142">
        <v>2</v>
      </c>
      <c r="G107" s="144">
        <v>2</v>
      </c>
      <c r="H107" s="142">
        <f>ABS(Table1[[#This Row],[WaterDemUnits]]-Table1[[#This Row],[WaterSUIPs]])</f>
        <v>0</v>
      </c>
    </row>
    <row r="108" spans="2:8" ht="14.65" thickBot="1" x14ac:dyDescent="0.5">
      <c r="B108" s="143" t="s">
        <v>70</v>
      </c>
      <c r="C108" s="142" t="s">
        <v>179</v>
      </c>
      <c r="D108" s="142" t="s">
        <v>252</v>
      </c>
      <c r="E108" s="142">
        <v>1</v>
      </c>
      <c r="F108" s="142">
        <v>1</v>
      </c>
      <c r="G108" s="144">
        <v>1</v>
      </c>
      <c r="H108" s="142">
        <f>ABS(Table1[[#This Row],[WaterDemUnits]]-Table1[[#This Row],[WaterSUIPs]])</f>
        <v>0</v>
      </c>
    </row>
    <row r="109" spans="2:8" ht="14.65" thickBot="1" x14ac:dyDescent="0.5">
      <c r="B109" s="143" t="s">
        <v>70</v>
      </c>
      <c r="C109" s="142" t="s">
        <v>183</v>
      </c>
      <c r="D109" s="142" t="s">
        <v>256</v>
      </c>
      <c r="E109" s="142">
        <v>1</v>
      </c>
      <c r="F109" s="142">
        <v>1</v>
      </c>
      <c r="G109" s="144">
        <v>1</v>
      </c>
      <c r="H109" s="142">
        <f>ABS(Table1[[#This Row],[WaterDemUnits]]-Table1[[#This Row],[WaterSUIPs]])</f>
        <v>0</v>
      </c>
    </row>
    <row r="110" spans="2:8" ht="14.65" thickBot="1" x14ac:dyDescent="0.5">
      <c r="B110" s="143" t="s">
        <v>70</v>
      </c>
      <c r="C110" s="142" t="s">
        <v>248</v>
      </c>
      <c r="D110" s="142" t="s">
        <v>249</v>
      </c>
      <c r="E110" s="142">
        <v>549</v>
      </c>
      <c r="F110" s="142">
        <v>692</v>
      </c>
      <c r="G110" s="144">
        <v>692</v>
      </c>
      <c r="H110" s="142">
        <f>ABS(Table1[[#This Row],[WaterDemUnits]]-Table1[[#This Row],[WaterSUIPs]])</f>
        <v>0</v>
      </c>
    </row>
    <row r="111" spans="2:8" ht="14.65" thickBot="1" x14ac:dyDescent="0.5">
      <c r="B111" s="143" t="s">
        <v>70</v>
      </c>
      <c r="C111" s="142" t="s">
        <v>179</v>
      </c>
      <c r="D111" s="142" t="s">
        <v>252</v>
      </c>
      <c r="E111" s="142">
        <v>1</v>
      </c>
      <c r="F111" s="142">
        <v>1</v>
      </c>
      <c r="G111" s="144">
        <v>1</v>
      </c>
      <c r="H111" s="142">
        <f>ABS(Table1[[#This Row],[WaterDemUnits]]-Table1[[#This Row],[WaterSUIPs]])</f>
        <v>0</v>
      </c>
    </row>
    <row r="112" spans="2:8" ht="14.65" thickBot="1" x14ac:dyDescent="0.5">
      <c r="B112" s="143" t="s">
        <v>70</v>
      </c>
      <c r="C112" s="142" t="s">
        <v>181</v>
      </c>
      <c r="D112" s="142" t="s">
        <v>181</v>
      </c>
      <c r="E112" s="142">
        <v>3</v>
      </c>
      <c r="F112" s="142">
        <v>3</v>
      </c>
      <c r="G112" s="144">
        <v>3</v>
      </c>
      <c r="H112" s="142">
        <f>ABS(Table1[[#This Row],[WaterDemUnits]]-Table1[[#This Row],[WaterSUIPs]])</f>
        <v>0</v>
      </c>
    </row>
    <row r="113" spans="2:8" ht="14.65" thickBot="1" x14ac:dyDescent="0.5">
      <c r="B113" s="143" t="s">
        <v>70</v>
      </c>
      <c r="C113" s="142" t="s">
        <v>179</v>
      </c>
      <c r="D113" s="142" t="s">
        <v>179</v>
      </c>
      <c r="E113" s="142">
        <v>11</v>
      </c>
      <c r="F113" s="142">
        <v>18</v>
      </c>
      <c r="G113" s="144">
        <v>18</v>
      </c>
      <c r="H113" s="142">
        <f>ABS(Table1[[#This Row],[WaterDemUnits]]-Table1[[#This Row],[WaterSUIPs]])</f>
        <v>0</v>
      </c>
    </row>
    <row r="114" spans="2:8" ht="14.65" thickBot="1" x14ac:dyDescent="0.5">
      <c r="B114" s="143" t="s">
        <v>70</v>
      </c>
      <c r="C114" s="142" t="s">
        <v>248</v>
      </c>
      <c r="D114" s="142" t="s">
        <v>249</v>
      </c>
      <c r="E114" s="142">
        <v>2</v>
      </c>
      <c r="F114" s="142">
        <v>2</v>
      </c>
      <c r="G114" s="144">
        <v>2</v>
      </c>
      <c r="H114" s="142">
        <f>ABS(Table1[[#This Row],[WaterDemUnits]]-Table1[[#This Row],[WaterSUIPs]])</f>
        <v>0</v>
      </c>
    </row>
    <row r="115" spans="2:8" ht="14.65" thickBot="1" x14ac:dyDescent="0.5">
      <c r="B115" s="143" t="s">
        <v>70</v>
      </c>
      <c r="C115" s="142" t="s">
        <v>179</v>
      </c>
      <c r="D115" s="142" t="s">
        <v>252</v>
      </c>
      <c r="E115" s="142">
        <v>3300</v>
      </c>
      <c r="F115" s="142">
        <v>5322</v>
      </c>
      <c r="G115" s="144">
        <v>5322</v>
      </c>
      <c r="H115" s="142">
        <f>ABS(Table1[[#This Row],[WaterDemUnits]]-Table1[[#This Row],[WaterSUIPs]])</f>
        <v>0</v>
      </c>
    </row>
    <row r="116" spans="2:8" ht="14.65" thickBot="1" x14ac:dyDescent="0.5">
      <c r="B116" s="143" t="s">
        <v>70</v>
      </c>
      <c r="C116" s="142" t="s">
        <v>183</v>
      </c>
      <c r="D116" s="142" t="s">
        <v>183</v>
      </c>
      <c r="E116" s="142">
        <v>1</v>
      </c>
      <c r="F116" s="142">
        <v>1</v>
      </c>
      <c r="G116" s="144">
        <v>1</v>
      </c>
      <c r="H116" s="142">
        <f>ABS(Table1[[#This Row],[WaterDemUnits]]-Table1[[#This Row],[WaterSUIPs]])</f>
        <v>0</v>
      </c>
    </row>
    <row r="117" spans="2:8" ht="14.65" thickBot="1" x14ac:dyDescent="0.5">
      <c r="B117" s="143" t="s">
        <v>70</v>
      </c>
      <c r="C117" s="142" t="s">
        <v>183</v>
      </c>
      <c r="D117" s="142" t="s">
        <v>183</v>
      </c>
      <c r="E117" s="142">
        <v>3</v>
      </c>
      <c r="F117" s="142">
        <v>3</v>
      </c>
      <c r="G117" s="144">
        <v>3</v>
      </c>
      <c r="H117" s="142">
        <f>ABS(Table1[[#This Row],[WaterDemUnits]]-Table1[[#This Row],[WaterSUIPs]])</f>
        <v>0</v>
      </c>
    </row>
    <row r="118" spans="2:8" ht="14.65" thickBot="1" x14ac:dyDescent="0.5">
      <c r="B118" s="143" t="s">
        <v>70</v>
      </c>
      <c r="C118" s="142" t="s">
        <v>248</v>
      </c>
      <c r="D118" s="142" t="s">
        <v>249</v>
      </c>
      <c r="E118" s="142">
        <v>1</v>
      </c>
      <c r="F118" s="142">
        <v>2</v>
      </c>
      <c r="G118" s="144">
        <v>2</v>
      </c>
      <c r="H118" s="142">
        <f>ABS(Table1[[#This Row],[WaterDemUnits]]-Table1[[#This Row],[WaterSUIPs]])</f>
        <v>0</v>
      </c>
    </row>
    <row r="119" spans="2:8" ht="14.65" thickBot="1" x14ac:dyDescent="0.5">
      <c r="B119" s="143" t="s">
        <v>70</v>
      </c>
      <c r="C119" s="142" t="s">
        <v>181</v>
      </c>
      <c r="D119" s="142" t="s">
        <v>181</v>
      </c>
      <c r="E119" s="142">
        <v>4</v>
      </c>
      <c r="F119" s="142">
        <v>4</v>
      </c>
      <c r="G119" s="144">
        <v>4</v>
      </c>
      <c r="H119" s="142">
        <f>ABS(Table1[[#This Row],[WaterDemUnits]]-Table1[[#This Row],[WaterSUIPs]])</f>
        <v>0</v>
      </c>
    </row>
    <row r="120" spans="2:8" ht="14.65" thickBot="1" x14ac:dyDescent="0.5">
      <c r="B120" s="143" t="s">
        <v>70</v>
      </c>
      <c r="C120" s="142" t="s">
        <v>183</v>
      </c>
      <c r="D120" s="142" t="s">
        <v>183</v>
      </c>
      <c r="E120" s="142">
        <v>1</v>
      </c>
      <c r="F120" s="142">
        <v>1</v>
      </c>
      <c r="G120" s="144">
        <v>1</v>
      </c>
      <c r="H120" s="142">
        <f>ABS(Table1[[#This Row],[WaterDemUnits]]-Table1[[#This Row],[WaterSUIPs]])</f>
        <v>0</v>
      </c>
    </row>
    <row r="121" spans="2:8" ht="14.65" thickBot="1" x14ac:dyDescent="0.5">
      <c r="B121" s="143" t="s">
        <v>70</v>
      </c>
      <c r="C121" s="142" t="s">
        <v>248</v>
      </c>
      <c r="D121" s="142" t="s">
        <v>249</v>
      </c>
      <c r="E121" s="142">
        <v>1</v>
      </c>
      <c r="F121" s="142">
        <v>1</v>
      </c>
      <c r="G121" s="144">
        <v>1</v>
      </c>
      <c r="H121" s="142">
        <f>ABS(Table1[[#This Row],[WaterDemUnits]]-Table1[[#This Row],[WaterSUIPs]])</f>
        <v>0</v>
      </c>
    </row>
    <row r="122" spans="2:8" ht="14.65" thickBot="1" x14ac:dyDescent="0.5">
      <c r="B122" s="143" t="s">
        <v>70</v>
      </c>
      <c r="C122" s="142" t="s">
        <v>183</v>
      </c>
      <c r="D122" s="142" t="s">
        <v>183</v>
      </c>
      <c r="E122" s="142">
        <v>344</v>
      </c>
      <c r="F122" s="142">
        <v>866</v>
      </c>
      <c r="G122" s="144">
        <v>866</v>
      </c>
      <c r="H122" s="142">
        <f>ABS(Table1[[#This Row],[WaterDemUnits]]-Table1[[#This Row],[WaterSUIPs]])</f>
        <v>0</v>
      </c>
    </row>
    <row r="123" spans="2:8" ht="14.65" thickBot="1" x14ac:dyDescent="0.5">
      <c r="B123" s="143" t="s">
        <v>70</v>
      </c>
      <c r="C123" s="142" t="s">
        <v>183</v>
      </c>
      <c r="D123" s="142" t="s">
        <v>183</v>
      </c>
      <c r="E123" s="142">
        <v>3</v>
      </c>
      <c r="F123" s="142">
        <v>4</v>
      </c>
      <c r="G123" s="144">
        <v>4</v>
      </c>
      <c r="H123" s="142">
        <f>ABS(Table1[[#This Row],[WaterDemUnits]]-Table1[[#This Row],[WaterSUIPs]])</f>
        <v>0</v>
      </c>
    </row>
    <row r="124" spans="2:8" ht="14.65" thickBot="1" x14ac:dyDescent="0.5">
      <c r="B124" s="143" t="s">
        <v>70</v>
      </c>
      <c r="C124" s="142" t="s">
        <v>179</v>
      </c>
      <c r="D124" s="142" t="s">
        <v>252</v>
      </c>
      <c r="E124" s="142">
        <v>2</v>
      </c>
      <c r="F124" s="142">
        <v>4</v>
      </c>
      <c r="G124" s="144">
        <v>4</v>
      </c>
      <c r="H124" s="142">
        <f>ABS(Table1[[#This Row],[WaterDemUnits]]-Table1[[#This Row],[WaterSUIPs]])</f>
        <v>0</v>
      </c>
    </row>
    <row r="125" spans="2:8" ht="14.65" thickBot="1" x14ac:dyDescent="0.5">
      <c r="B125" s="143" t="s">
        <v>70</v>
      </c>
      <c r="C125" s="142" t="s">
        <v>179</v>
      </c>
      <c r="D125" s="142" t="s">
        <v>179</v>
      </c>
      <c r="E125" s="142">
        <v>1</v>
      </c>
      <c r="F125" s="142">
        <v>1</v>
      </c>
      <c r="G125" s="144">
        <v>1</v>
      </c>
      <c r="H125" s="142">
        <f>ABS(Table1[[#This Row],[WaterDemUnits]]-Table1[[#This Row],[WaterSUIPs]])</f>
        <v>0</v>
      </c>
    </row>
    <row r="126" spans="2:8" ht="14.65" thickBot="1" x14ac:dyDescent="0.5">
      <c r="B126" s="143" t="s">
        <v>70</v>
      </c>
      <c r="C126" s="142" t="s">
        <v>248</v>
      </c>
      <c r="D126" s="142" t="s">
        <v>249</v>
      </c>
      <c r="E126" s="142">
        <v>1</v>
      </c>
      <c r="F126" s="142">
        <v>1</v>
      </c>
      <c r="G126" s="144">
        <v>1</v>
      </c>
      <c r="H126" s="142">
        <f>ABS(Table1[[#This Row],[WaterDemUnits]]-Table1[[#This Row],[WaterSUIPs]])</f>
        <v>0</v>
      </c>
    </row>
    <row r="127" spans="2:8" ht="14.65" thickBot="1" x14ac:dyDescent="0.5">
      <c r="B127" s="143" t="s">
        <v>70</v>
      </c>
      <c r="C127" s="142" t="s">
        <v>183</v>
      </c>
      <c r="D127" s="142" t="s">
        <v>183</v>
      </c>
      <c r="E127" s="142">
        <v>2</v>
      </c>
      <c r="F127" s="142">
        <v>2</v>
      </c>
      <c r="G127" s="144">
        <v>2</v>
      </c>
      <c r="H127" s="142">
        <f>ABS(Table1[[#This Row],[WaterDemUnits]]-Table1[[#This Row],[WaterSUIPs]])</f>
        <v>0</v>
      </c>
    </row>
    <row r="128" spans="2:8" ht="14.65" thickBot="1" x14ac:dyDescent="0.5">
      <c r="B128" s="143" t="s">
        <v>70</v>
      </c>
      <c r="C128" s="142" t="s">
        <v>181</v>
      </c>
      <c r="D128" s="142" t="s">
        <v>251</v>
      </c>
      <c r="E128" s="142">
        <v>28</v>
      </c>
      <c r="F128" s="142">
        <v>29</v>
      </c>
      <c r="G128" s="144">
        <v>29</v>
      </c>
      <c r="H128" s="142">
        <f>ABS(Table1[[#This Row],[WaterDemUnits]]-Table1[[#This Row],[WaterSUIPs]])</f>
        <v>0</v>
      </c>
    </row>
    <row r="129" spans="2:8" ht="14.65" thickBot="1" x14ac:dyDescent="0.5">
      <c r="B129" s="143" t="s">
        <v>70</v>
      </c>
      <c r="C129" s="142" t="s">
        <v>183</v>
      </c>
      <c r="D129" s="142" t="s">
        <v>247</v>
      </c>
      <c r="E129" s="142">
        <v>24</v>
      </c>
      <c r="F129" s="142">
        <v>26</v>
      </c>
      <c r="G129" s="144">
        <v>26</v>
      </c>
      <c r="H129" s="142">
        <f>ABS(Table1[[#This Row],[WaterDemUnits]]-Table1[[#This Row],[WaterSUIPs]])</f>
        <v>0</v>
      </c>
    </row>
    <row r="130" spans="2:8" ht="14.65" thickBot="1" x14ac:dyDescent="0.5">
      <c r="B130" s="143" t="s">
        <v>70</v>
      </c>
      <c r="C130" s="142" t="s">
        <v>183</v>
      </c>
      <c r="D130" s="142" t="s">
        <v>183</v>
      </c>
      <c r="E130" s="142">
        <v>12</v>
      </c>
      <c r="F130" s="142">
        <v>12</v>
      </c>
      <c r="G130" s="144">
        <v>12</v>
      </c>
      <c r="H130" s="142">
        <f>ABS(Table1[[#This Row],[WaterDemUnits]]-Table1[[#This Row],[WaterSUIPs]])</f>
        <v>0</v>
      </c>
    </row>
    <row r="131" spans="2:8" ht="14.65" thickBot="1" x14ac:dyDescent="0.5">
      <c r="B131" s="143" t="s">
        <v>70</v>
      </c>
      <c r="C131" s="142" t="s">
        <v>183</v>
      </c>
      <c r="D131" s="142" t="s">
        <v>183</v>
      </c>
      <c r="E131" s="142">
        <v>3</v>
      </c>
      <c r="F131" s="142">
        <v>3</v>
      </c>
      <c r="G131" s="144">
        <v>3</v>
      </c>
      <c r="H131" s="142">
        <f>ABS(Table1[[#This Row],[WaterDemUnits]]-Table1[[#This Row],[WaterSUIPs]])</f>
        <v>0</v>
      </c>
    </row>
    <row r="132" spans="2:8" ht="14.65" thickBot="1" x14ac:dyDescent="0.5">
      <c r="B132" s="143" t="s">
        <v>70</v>
      </c>
      <c r="C132" s="142" t="s">
        <v>179</v>
      </c>
      <c r="D132" s="142" t="s">
        <v>252</v>
      </c>
      <c r="E132" s="142">
        <v>1</v>
      </c>
      <c r="F132" s="142">
        <v>2</v>
      </c>
      <c r="G132" s="144">
        <v>2</v>
      </c>
      <c r="H132" s="142">
        <f>ABS(Table1[[#This Row],[WaterDemUnits]]-Table1[[#This Row],[WaterSUIPs]])</f>
        <v>0</v>
      </c>
    </row>
    <row r="133" spans="2:8" ht="14.65" thickBot="1" x14ac:dyDescent="0.5">
      <c r="B133" s="143" t="s">
        <v>70</v>
      </c>
      <c r="C133" s="142" t="s">
        <v>179</v>
      </c>
      <c r="D133" s="142" t="s">
        <v>252</v>
      </c>
      <c r="E133" s="142">
        <v>3</v>
      </c>
      <c r="F133" s="142">
        <v>3</v>
      </c>
      <c r="G133" s="144">
        <v>3</v>
      </c>
      <c r="H133" s="142">
        <f>ABS(Table1[[#This Row],[WaterDemUnits]]-Table1[[#This Row],[WaterSUIPs]])</f>
        <v>0</v>
      </c>
    </row>
    <row r="134" spans="2:8" ht="14.65" thickBot="1" x14ac:dyDescent="0.5">
      <c r="B134" s="143" t="s">
        <v>70</v>
      </c>
      <c r="C134" s="142" t="s">
        <v>183</v>
      </c>
      <c r="D134" s="142" t="s">
        <v>183</v>
      </c>
      <c r="E134" s="142">
        <v>110</v>
      </c>
      <c r="F134" s="142">
        <v>452</v>
      </c>
      <c r="G134" s="144">
        <v>452</v>
      </c>
      <c r="H134" s="142">
        <f>ABS(Table1[[#This Row],[WaterDemUnits]]-Table1[[#This Row],[WaterSUIPs]])</f>
        <v>0</v>
      </c>
    </row>
    <row r="135" spans="2:8" ht="14.65" thickBot="1" x14ac:dyDescent="0.5">
      <c r="B135" s="143" t="s">
        <v>70</v>
      </c>
      <c r="C135" s="142" t="s">
        <v>181</v>
      </c>
      <c r="D135" s="142" t="s">
        <v>251</v>
      </c>
      <c r="E135" s="142">
        <v>4</v>
      </c>
      <c r="F135" s="142">
        <v>5</v>
      </c>
      <c r="G135" s="144">
        <v>5</v>
      </c>
      <c r="H135" s="142">
        <f>ABS(Table1[[#This Row],[WaterDemUnits]]-Table1[[#This Row],[WaterSUIPs]])</f>
        <v>0</v>
      </c>
    </row>
    <row r="136" spans="2:8" ht="14.65" thickBot="1" x14ac:dyDescent="0.5">
      <c r="B136" s="143" t="s">
        <v>70</v>
      </c>
      <c r="C136" s="142" t="s">
        <v>248</v>
      </c>
      <c r="D136" s="142" t="s">
        <v>249</v>
      </c>
      <c r="E136" s="142">
        <v>3</v>
      </c>
      <c r="F136" s="142">
        <v>3</v>
      </c>
      <c r="G136" s="144">
        <v>3</v>
      </c>
      <c r="H136" s="142">
        <f>ABS(Table1[[#This Row],[WaterDemUnits]]-Table1[[#This Row],[WaterSUIPs]])</f>
        <v>0</v>
      </c>
    </row>
    <row r="137" spans="2:8" ht="14.65" thickBot="1" x14ac:dyDescent="0.5">
      <c r="B137" s="143" t="s">
        <v>70</v>
      </c>
      <c r="C137" s="142" t="s">
        <v>183</v>
      </c>
      <c r="D137" s="142" t="s">
        <v>256</v>
      </c>
      <c r="E137" s="142">
        <v>2</v>
      </c>
      <c r="F137" s="142">
        <v>4</v>
      </c>
      <c r="G137" s="144">
        <v>4</v>
      </c>
      <c r="H137" s="142">
        <f>ABS(Table1[[#This Row],[WaterDemUnits]]-Table1[[#This Row],[WaterSUIPs]])</f>
        <v>0</v>
      </c>
    </row>
    <row r="138" spans="2:8" ht="14.65" thickBot="1" x14ac:dyDescent="0.5">
      <c r="B138" s="143" t="s">
        <v>70</v>
      </c>
      <c r="C138" s="142" t="s">
        <v>248</v>
      </c>
      <c r="D138" s="142" t="s">
        <v>248</v>
      </c>
      <c r="E138" s="142">
        <v>351</v>
      </c>
      <c r="F138" s="142">
        <v>1756</v>
      </c>
      <c r="G138" s="144">
        <v>2974</v>
      </c>
      <c r="H138" s="142">
        <f>ABS(Table1[[#This Row],[WaterDemUnits]]-Table1[[#This Row],[WaterSUIPs]])</f>
        <v>1218</v>
      </c>
    </row>
    <row r="139" spans="2:8" ht="14.65" thickBot="1" x14ac:dyDescent="0.5">
      <c r="B139" s="143" t="s">
        <v>70</v>
      </c>
      <c r="C139" s="142" t="s">
        <v>248</v>
      </c>
      <c r="D139" s="142" t="s">
        <v>248</v>
      </c>
      <c r="E139" s="142">
        <v>18</v>
      </c>
      <c r="F139" s="142">
        <v>58</v>
      </c>
      <c r="G139" s="144">
        <v>349</v>
      </c>
      <c r="H139" s="142">
        <f>ABS(Table1[[#This Row],[WaterDemUnits]]-Table1[[#This Row],[WaterSUIPs]])</f>
        <v>291</v>
      </c>
    </row>
    <row r="140" spans="2:8" ht="14.65" thickBot="1" x14ac:dyDescent="0.5">
      <c r="B140" s="143" t="s">
        <v>71</v>
      </c>
      <c r="C140" s="142" t="s">
        <v>248</v>
      </c>
      <c r="D140" s="142" t="s">
        <v>248</v>
      </c>
      <c r="E140" s="142">
        <v>1</v>
      </c>
      <c r="F140" s="142">
        <v>1</v>
      </c>
      <c r="G140" s="144">
        <v>0</v>
      </c>
      <c r="H140" s="142">
        <f>ABS(Table1[[#This Row],[WaterDemUnits]]-Table1[[#This Row],[WaterSUIPs]])</f>
        <v>1</v>
      </c>
    </row>
    <row r="141" spans="2:8" ht="14.65" thickBot="1" x14ac:dyDescent="0.5">
      <c r="B141" s="143" t="s">
        <v>71</v>
      </c>
      <c r="C141" s="142" t="s">
        <v>181</v>
      </c>
      <c r="D141" s="142" t="s">
        <v>251</v>
      </c>
      <c r="E141" s="142">
        <v>3</v>
      </c>
      <c r="F141" s="142">
        <v>3</v>
      </c>
      <c r="G141" s="144">
        <v>3</v>
      </c>
      <c r="H141" s="142">
        <f>ABS(Table1[[#This Row],[WaterDemUnits]]-Table1[[#This Row],[WaterSUIPs]])</f>
        <v>0</v>
      </c>
    </row>
    <row r="142" spans="2:8" ht="14.65" thickBot="1" x14ac:dyDescent="0.5">
      <c r="B142" s="143" t="s">
        <v>71</v>
      </c>
      <c r="C142" s="142" t="s">
        <v>181</v>
      </c>
      <c r="D142" s="142" t="s">
        <v>181</v>
      </c>
      <c r="E142" s="142">
        <v>4</v>
      </c>
      <c r="F142" s="142">
        <v>4</v>
      </c>
      <c r="G142" s="144">
        <v>4</v>
      </c>
      <c r="H142" s="142">
        <f>ABS(Table1[[#This Row],[WaterDemUnits]]-Table1[[#This Row],[WaterSUIPs]])</f>
        <v>0</v>
      </c>
    </row>
    <row r="143" spans="2:8" ht="14.65" thickBot="1" x14ac:dyDescent="0.5">
      <c r="B143" s="143" t="s">
        <v>71</v>
      </c>
      <c r="C143" s="142" t="s">
        <v>183</v>
      </c>
      <c r="D143" s="142" t="s">
        <v>183</v>
      </c>
      <c r="E143" s="142">
        <v>2</v>
      </c>
      <c r="F143" s="142">
        <v>2</v>
      </c>
      <c r="G143" s="144">
        <v>2</v>
      </c>
      <c r="H143" s="142">
        <f>ABS(Table1[[#This Row],[WaterDemUnits]]-Table1[[#This Row],[WaterSUIPs]])</f>
        <v>0</v>
      </c>
    </row>
    <row r="144" spans="2:8" ht="14.65" thickBot="1" x14ac:dyDescent="0.5">
      <c r="B144" s="143" t="s">
        <v>71</v>
      </c>
      <c r="C144" s="142" t="s">
        <v>179</v>
      </c>
      <c r="D144" s="142" t="s">
        <v>252</v>
      </c>
      <c r="E144" s="142">
        <v>19</v>
      </c>
      <c r="F144" s="142">
        <v>19</v>
      </c>
      <c r="G144" s="144">
        <v>19</v>
      </c>
      <c r="H144" s="142">
        <f>ABS(Table1[[#This Row],[WaterDemUnits]]-Table1[[#This Row],[WaterSUIPs]])</f>
        <v>0</v>
      </c>
    </row>
    <row r="145" spans="2:8" ht="14.65" thickBot="1" x14ac:dyDescent="0.5">
      <c r="B145" s="143" t="s">
        <v>71</v>
      </c>
      <c r="C145" s="142" t="s">
        <v>248</v>
      </c>
      <c r="D145" s="142" t="s">
        <v>249</v>
      </c>
      <c r="E145" s="142">
        <v>564</v>
      </c>
      <c r="F145" s="142">
        <v>609</v>
      </c>
      <c r="G145" s="144">
        <v>609</v>
      </c>
      <c r="H145" s="142">
        <f>ABS(Table1[[#This Row],[WaterDemUnits]]-Table1[[#This Row],[WaterSUIPs]])</f>
        <v>0</v>
      </c>
    </row>
    <row r="146" spans="2:8" ht="14.65" thickBot="1" x14ac:dyDescent="0.5">
      <c r="B146" s="143" t="s">
        <v>71</v>
      </c>
      <c r="C146" s="142" t="s">
        <v>181</v>
      </c>
      <c r="D146" s="142" t="s">
        <v>181</v>
      </c>
      <c r="E146" s="142">
        <v>1</v>
      </c>
      <c r="F146" s="142">
        <v>1</v>
      </c>
      <c r="G146" s="144">
        <v>1</v>
      </c>
      <c r="H146" s="142">
        <f>ABS(Table1[[#This Row],[WaterDemUnits]]-Table1[[#This Row],[WaterSUIPs]])</f>
        <v>0</v>
      </c>
    </row>
    <row r="147" spans="2:8" ht="14.65" thickBot="1" x14ac:dyDescent="0.5">
      <c r="B147" s="143" t="s">
        <v>71</v>
      </c>
      <c r="C147" s="142" t="s">
        <v>183</v>
      </c>
      <c r="D147" s="142" t="s">
        <v>183</v>
      </c>
      <c r="E147" s="142">
        <v>1</v>
      </c>
      <c r="F147" s="142">
        <v>3</v>
      </c>
      <c r="G147" s="144">
        <v>3</v>
      </c>
      <c r="H147" s="142">
        <f>ABS(Table1[[#This Row],[WaterDemUnits]]-Table1[[#This Row],[WaterSUIPs]])</f>
        <v>0</v>
      </c>
    </row>
    <row r="148" spans="2:8" ht="14.65" thickBot="1" x14ac:dyDescent="0.5">
      <c r="B148" s="143" t="s">
        <v>71</v>
      </c>
      <c r="C148" s="142" t="s">
        <v>248</v>
      </c>
      <c r="D148" s="142" t="s">
        <v>249</v>
      </c>
      <c r="E148" s="142">
        <v>18</v>
      </c>
      <c r="F148" s="142">
        <v>20</v>
      </c>
      <c r="G148" s="144">
        <v>20</v>
      </c>
      <c r="H148" s="142">
        <f>ABS(Table1[[#This Row],[WaterDemUnits]]-Table1[[#This Row],[WaterSUIPs]])</f>
        <v>0</v>
      </c>
    </row>
    <row r="149" spans="2:8" ht="14.65" thickBot="1" x14ac:dyDescent="0.5">
      <c r="B149" s="143" t="s">
        <v>71</v>
      </c>
      <c r="C149" s="142" t="s">
        <v>248</v>
      </c>
      <c r="D149" s="142" t="s">
        <v>249</v>
      </c>
      <c r="E149" s="142">
        <v>3</v>
      </c>
      <c r="F149" s="142">
        <v>6</v>
      </c>
      <c r="G149" s="144">
        <v>6</v>
      </c>
      <c r="H149" s="142">
        <f>ABS(Table1[[#This Row],[WaterDemUnits]]-Table1[[#This Row],[WaterSUIPs]])</f>
        <v>0</v>
      </c>
    </row>
    <row r="150" spans="2:8" ht="14.65" thickBot="1" x14ac:dyDescent="0.5">
      <c r="B150" s="143" t="s">
        <v>71</v>
      </c>
      <c r="C150" s="142" t="s">
        <v>248</v>
      </c>
      <c r="D150" s="142" t="s">
        <v>249</v>
      </c>
      <c r="E150" s="142">
        <v>50</v>
      </c>
      <c r="F150" s="142">
        <v>99</v>
      </c>
      <c r="G150" s="144">
        <v>99</v>
      </c>
      <c r="H150" s="142">
        <f>ABS(Table1[[#This Row],[WaterDemUnits]]-Table1[[#This Row],[WaterSUIPs]])</f>
        <v>0</v>
      </c>
    </row>
    <row r="151" spans="2:8" ht="14.65" thickBot="1" x14ac:dyDescent="0.5">
      <c r="B151" s="143" t="s">
        <v>71</v>
      </c>
      <c r="C151" s="142" t="s">
        <v>179</v>
      </c>
      <c r="D151" s="142" t="s">
        <v>252</v>
      </c>
      <c r="E151" s="142">
        <v>1</v>
      </c>
      <c r="F151" s="142">
        <v>2</v>
      </c>
      <c r="G151" s="144">
        <v>2</v>
      </c>
      <c r="H151" s="142">
        <f>ABS(Table1[[#This Row],[WaterDemUnits]]-Table1[[#This Row],[WaterSUIPs]])</f>
        <v>0</v>
      </c>
    </row>
    <row r="152" spans="2:8" ht="14.65" thickBot="1" x14ac:dyDescent="0.5">
      <c r="B152" s="143" t="s">
        <v>71</v>
      </c>
      <c r="C152" s="142" t="s">
        <v>248</v>
      </c>
      <c r="D152" s="142" t="s">
        <v>249</v>
      </c>
      <c r="E152" s="142">
        <v>2</v>
      </c>
      <c r="F152" s="142">
        <v>2</v>
      </c>
      <c r="G152" s="144">
        <v>2</v>
      </c>
      <c r="H152" s="142">
        <f>ABS(Table1[[#This Row],[WaterDemUnits]]-Table1[[#This Row],[WaterSUIPs]])</f>
        <v>0</v>
      </c>
    </row>
    <row r="153" spans="2:8" ht="14.65" thickBot="1" x14ac:dyDescent="0.5">
      <c r="B153" s="143" t="s">
        <v>71</v>
      </c>
      <c r="C153" s="142" t="s">
        <v>248</v>
      </c>
      <c r="D153" s="142" t="s">
        <v>248</v>
      </c>
      <c r="E153" s="142">
        <v>1</v>
      </c>
      <c r="F153" s="142">
        <v>1</v>
      </c>
      <c r="G153" s="144">
        <v>0</v>
      </c>
      <c r="H153" s="142">
        <f>ABS(Table1[[#This Row],[WaterDemUnits]]-Table1[[#This Row],[WaterSUIPs]])</f>
        <v>1</v>
      </c>
    </row>
    <row r="154" spans="2:8" ht="14.65" thickBot="1" x14ac:dyDescent="0.5">
      <c r="B154" s="143" t="s">
        <v>71</v>
      </c>
      <c r="C154" s="142" t="s">
        <v>179</v>
      </c>
      <c r="D154" s="142" t="s">
        <v>179</v>
      </c>
      <c r="E154" s="142">
        <v>9</v>
      </c>
      <c r="F154" s="142">
        <v>9</v>
      </c>
      <c r="G154" s="144">
        <v>9</v>
      </c>
      <c r="H154" s="142">
        <f>ABS(Table1[[#This Row],[WaterDemUnits]]-Table1[[#This Row],[WaterSUIPs]])</f>
        <v>0</v>
      </c>
    </row>
    <row r="155" spans="2:8" ht="14.65" thickBot="1" x14ac:dyDescent="0.5">
      <c r="B155" s="143" t="s">
        <v>71</v>
      </c>
      <c r="C155" s="142" t="s">
        <v>183</v>
      </c>
      <c r="D155" s="142" t="s">
        <v>183</v>
      </c>
      <c r="E155" s="142">
        <v>3</v>
      </c>
      <c r="F155" s="142">
        <v>3</v>
      </c>
      <c r="G155" s="144">
        <v>3</v>
      </c>
      <c r="H155" s="142">
        <f>ABS(Table1[[#This Row],[WaterDemUnits]]-Table1[[#This Row],[WaterSUIPs]])</f>
        <v>0</v>
      </c>
    </row>
    <row r="156" spans="2:8" ht="14.65" thickBot="1" x14ac:dyDescent="0.5">
      <c r="B156" s="143" t="s">
        <v>71</v>
      </c>
      <c r="C156" s="142" t="s">
        <v>248</v>
      </c>
      <c r="D156" s="142" t="s">
        <v>249</v>
      </c>
      <c r="E156" s="142">
        <v>1</v>
      </c>
      <c r="F156" s="142">
        <v>2</v>
      </c>
      <c r="G156" s="144">
        <v>2</v>
      </c>
      <c r="H156" s="142">
        <f>ABS(Table1[[#This Row],[WaterDemUnits]]-Table1[[#This Row],[WaterSUIPs]])</f>
        <v>0</v>
      </c>
    </row>
    <row r="157" spans="2:8" ht="14.65" thickBot="1" x14ac:dyDescent="0.5">
      <c r="B157" s="143" t="s">
        <v>71</v>
      </c>
      <c r="C157" s="142" t="s">
        <v>181</v>
      </c>
      <c r="D157" s="142" t="s">
        <v>181</v>
      </c>
      <c r="E157" s="142">
        <v>21</v>
      </c>
      <c r="F157" s="142">
        <v>21</v>
      </c>
      <c r="G157" s="144">
        <v>21</v>
      </c>
      <c r="H157" s="142">
        <f>ABS(Table1[[#This Row],[WaterDemUnits]]-Table1[[#This Row],[WaterSUIPs]])</f>
        <v>0</v>
      </c>
    </row>
    <row r="158" spans="2:8" ht="14.65" thickBot="1" x14ac:dyDescent="0.5">
      <c r="B158" s="143" t="s">
        <v>71</v>
      </c>
      <c r="C158" s="142" t="s">
        <v>179</v>
      </c>
      <c r="D158" s="142" t="s">
        <v>252</v>
      </c>
      <c r="E158" s="142">
        <v>175</v>
      </c>
      <c r="F158" s="142">
        <v>352</v>
      </c>
      <c r="G158" s="144">
        <v>352</v>
      </c>
      <c r="H158" s="142">
        <f>ABS(Table1[[#This Row],[WaterDemUnits]]-Table1[[#This Row],[WaterSUIPs]])</f>
        <v>0</v>
      </c>
    </row>
    <row r="159" spans="2:8" ht="14.65" thickBot="1" x14ac:dyDescent="0.5">
      <c r="B159" s="143" t="s">
        <v>71</v>
      </c>
      <c r="C159" s="142" t="s">
        <v>181</v>
      </c>
      <c r="D159" s="142" t="s">
        <v>255</v>
      </c>
      <c r="E159" s="142">
        <v>14</v>
      </c>
      <c r="F159" s="142">
        <v>26</v>
      </c>
      <c r="G159" s="144">
        <v>26</v>
      </c>
      <c r="H159" s="142">
        <f>ABS(Table1[[#This Row],[WaterDemUnits]]-Table1[[#This Row],[WaterSUIPs]])</f>
        <v>0</v>
      </c>
    </row>
    <row r="160" spans="2:8" ht="14.65" thickBot="1" x14ac:dyDescent="0.5">
      <c r="B160" s="143" t="s">
        <v>71</v>
      </c>
      <c r="C160" s="142" t="s">
        <v>179</v>
      </c>
      <c r="D160" s="142" t="s">
        <v>179</v>
      </c>
      <c r="E160" s="142">
        <v>4</v>
      </c>
      <c r="F160" s="142">
        <v>4</v>
      </c>
      <c r="G160" s="144">
        <v>4</v>
      </c>
      <c r="H160" s="142">
        <f>ABS(Table1[[#This Row],[WaterDemUnits]]-Table1[[#This Row],[WaterSUIPs]])</f>
        <v>0</v>
      </c>
    </row>
    <row r="161" spans="2:8" ht="14.65" thickBot="1" x14ac:dyDescent="0.5">
      <c r="B161" s="143" t="s">
        <v>71</v>
      </c>
      <c r="C161" s="142" t="s">
        <v>250</v>
      </c>
      <c r="D161" s="142" t="s">
        <v>250</v>
      </c>
      <c r="E161" s="142">
        <v>1</v>
      </c>
      <c r="F161" s="142">
        <v>1</v>
      </c>
      <c r="G161" s="144">
        <v>1</v>
      </c>
      <c r="H161" s="142">
        <f>ABS(Table1[[#This Row],[WaterDemUnits]]-Table1[[#This Row],[WaterSUIPs]])</f>
        <v>0</v>
      </c>
    </row>
    <row r="162" spans="2:8" ht="14.65" thickBot="1" x14ac:dyDescent="0.5">
      <c r="B162" s="143" t="s">
        <v>71</v>
      </c>
      <c r="C162" s="142" t="s">
        <v>254</v>
      </c>
      <c r="D162" s="142" t="s">
        <v>254</v>
      </c>
      <c r="E162" s="142">
        <v>1</v>
      </c>
      <c r="F162" s="142">
        <v>1</v>
      </c>
      <c r="G162" s="144">
        <v>1</v>
      </c>
      <c r="H162" s="142">
        <f>ABS(Table1[[#This Row],[WaterDemUnits]]-Table1[[#This Row],[WaterSUIPs]])</f>
        <v>0</v>
      </c>
    </row>
    <row r="163" spans="2:8" ht="14.65" thickBot="1" x14ac:dyDescent="0.5">
      <c r="B163" s="143" t="s">
        <v>71</v>
      </c>
      <c r="C163" s="142" t="s">
        <v>183</v>
      </c>
      <c r="D163" s="142" t="s">
        <v>183</v>
      </c>
      <c r="E163" s="142">
        <v>58</v>
      </c>
      <c r="F163" s="142">
        <v>182</v>
      </c>
      <c r="G163" s="144">
        <v>182</v>
      </c>
      <c r="H163" s="142">
        <f>ABS(Table1[[#This Row],[WaterDemUnits]]-Table1[[#This Row],[WaterSUIPs]])</f>
        <v>0</v>
      </c>
    </row>
    <row r="164" spans="2:8" ht="14.65" thickBot="1" x14ac:dyDescent="0.5">
      <c r="B164" s="143" t="s">
        <v>71</v>
      </c>
      <c r="C164" s="142" t="s">
        <v>181</v>
      </c>
      <c r="D164" s="142" t="s">
        <v>251</v>
      </c>
      <c r="E164" s="142">
        <v>138</v>
      </c>
      <c r="F164" s="142">
        <v>313</v>
      </c>
      <c r="G164" s="144">
        <v>313</v>
      </c>
      <c r="H164" s="142">
        <f>ABS(Table1[[#This Row],[WaterDemUnits]]-Table1[[#This Row],[WaterSUIPs]])</f>
        <v>0</v>
      </c>
    </row>
    <row r="165" spans="2:8" ht="14.65" thickBot="1" x14ac:dyDescent="0.5">
      <c r="B165" s="143" t="s">
        <v>71</v>
      </c>
      <c r="C165" s="142" t="s">
        <v>183</v>
      </c>
      <c r="D165" s="142" t="s">
        <v>183</v>
      </c>
      <c r="E165" s="142">
        <v>5</v>
      </c>
      <c r="F165" s="142">
        <v>5</v>
      </c>
      <c r="G165" s="144">
        <v>5</v>
      </c>
      <c r="H165" s="142">
        <f>ABS(Table1[[#This Row],[WaterDemUnits]]-Table1[[#This Row],[WaterSUIPs]])</f>
        <v>0</v>
      </c>
    </row>
    <row r="166" spans="2:8" ht="14.65" thickBot="1" x14ac:dyDescent="0.5">
      <c r="B166" s="143" t="s">
        <v>71</v>
      </c>
      <c r="C166" s="142" t="s">
        <v>181</v>
      </c>
      <c r="D166" s="142" t="s">
        <v>255</v>
      </c>
      <c r="E166" s="142">
        <v>1</v>
      </c>
      <c r="F166" s="142">
        <v>2</v>
      </c>
      <c r="G166" s="144">
        <v>2</v>
      </c>
      <c r="H166" s="142">
        <f>ABS(Table1[[#This Row],[WaterDemUnits]]-Table1[[#This Row],[WaterSUIPs]])</f>
        <v>0</v>
      </c>
    </row>
    <row r="167" spans="2:8" ht="14.65" thickBot="1" x14ac:dyDescent="0.5">
      <c r="B167" s="143" t="s">
        <v>71</v>
      </c>
      <c r="C167" s="142" t="s">
        <v>250</v>
      </c>
      <c r="D167" s="142" t="s">
        <v>250</v>
      </c>
      <c r="E167" s="142">
        <v>1186</v>
      </c>
      <c r="F167" s="142">
        <v>1190</v>
      </c>
      <c r="G167" s="144">
        <v>1190</v>
      </c>
      <c r="H167" s="142">
        <f>ABS(Table1[[#This Row],[WaterDemUnits]]-Table1[[#This Row],[WaterSUIPs]])</f>
        <v>0</v>
      </c>
    </row>
    <row r="168" spans="2:8" ht="14.65" thickBot="1" x14ac:dyDescent="0.5">
      <c r="B168" s="143" t="s">
        <v>71</v>
      </c>
      <c r="C168" s="142" t="s">
        <v>183</v>
      </c>
      <c r="D168" s="142" t="s">
        <v>183</v>
      </c>
      <c r="E168" s="142">
        <v>1</v>
      </c>
      <c r="F168" s="142">
        <v>1</v>
      </c>
      <c r="G168" s="144">
        <v>1</v>
      </c>
      <c r="H168" s="142">
        <f>ABS(Table1[[#This Row],[WaterDemUnits]]-Table1[[#This Row],[WaterSUIPs]])</f>
        <v>0</v>
      </c>
    </row>
    <row r="169" spans="2:8" ht="14.65" thickBot="1" x14ac:dyDescent="0.5">
      <c r="B169" s="143" t="s">
        <v>71</v>
      </c>
      <c r="C169" s="142" t="s">
        <v>179</v>
      </c>
      <c r="D169" s="142" t="s">
        <v>252</v>
      </c>
      <c r="E169" s="142">
        <v>3</v>
      </c>
      <c r="F169" s="142">
        <v>3</v>
      </c>
      <c r="G169" s="144">
        <v>3</v>
      </c>
      <c r="H169" s="142">
        <f>ABS(Table1[[#This Row],[WaterDemUnits]]-Table1[[#This Row],[WaterSUIPs]])</f>
        <v>0</v>
      </c>
    </row>
    <row r="170" spans="2:8" ht="14.65" thickBot="1" x14ac:dyDescent="0.5">
      <c r="B170" s="143" t="s">
        <v>71</v>
      </c>
      <c r="C170" s="142" t="s">
        <v>248</v>
      </c>
      <c r="D170" s="142" t="s">
        <v>248</v>
      </c>
      <c r="E170" s="142">
        <v>137</v>
      </c>
      <c r="F170" s="142">
        <v>416</v>
      </c>
      <c r="G170" s="144">
        <v>635</v>
      </c>
      <c r="H170" s="142">
        <f>ABS(Table1[[#This Row],[WaterDemUnits]]-Table1[[#This Row],[WaterSUIPs]])</f>
        <v>219</v>
      </c>
    </row>
    <row r="171" spans="2:8" ht="14.65" thickBot="1" x14ac:dyDescent="0.5">
      <c r="B171" s="143" t="s">
        <v>71</v>
      </c>
      <c r="C171" s="142" t="s">
        <v>183</v>
      </c>
      <c r="D171" s="142" t="s">
        <v>247</v>
      </c>
      <c r="E171" s="142">
        <v>17</v>
      </c>
      <c r="F171" s="142">
        <v>18</v>
      </c>
      <c r="G171" s="144">
        <v>18</v>
      </c>
      <c r="H171" s="142">
        <f>ABS(Table1[[#This Row],[WaterDemUnits]]-Table1[[#This Row],[WaterSUIPs]])</f>
        <v>0</v>
      </c>
    </row>
    <row r="172" spans="2:8" ht="14.65" thickBot="1" x14ac:dyDescent="0.5">
      <c r="B172" s="143" t="s">
        <v>71</v>
      </c>
      <c r="C172" s="142" t="s">
        <v>248</v>
      </c>
      <c r="D172" s="142" t="s">
        <v>249</v>
      </c>
      <c r="E172" s="142">
        <v>2</v>
      </c>
      <c r="F172" s="142">
        <v>2</v>
      </c>
      <c r="G172" s="144">
        <v>2</v>
      </c>
      <c r="H172" s="142">
        <f>ABS(Table1[[#This Row],[WaterDemUnits]]-Table1[[#This Row],[WaterSUIPs]])</f>
        <v>0</v>
      </c>
    </row>
    <row r="173" spans="2:8" ht="14.65" thickBot="1" x14ac:dyDescent="0.5">
      <c r="B173" s="143" t="s">
        <v>71</v>
      </c>
      <c r="C173" s="142" t="s">
        <v>179</v>
      </c>
      <c r="D173" s="142" t="s">
        <v>252</v>
      </c>
      <c r="E173" s="142">
        <v>5358</v>
      </c>
      <c r="F173" s="142">
        <v>5764</v>
      </c>
      <c r="G173" s="144">
        <v>5764</v>
      </c>
      <c r="H173" s="142">
        <f>ABS(Table1[[#This Row],[WaterDemUnits]]-Table1[[#This Row],[WaterSUIPs]])</f>
        <v>0</v>
      </c>
    </row>
    <row r="174" spans="2:8" ht="14.65" thickBot="1" x14ac:dyDescent="0.5">
      <c r="B174" s="143" t="s">
        <v>71</v>
      </c>
      <c r="C174" s="142" t="s">
        <v>183</v>
      </c>
      <c r="D174" s="142" t="s">
        <v>183</v>
      </c>
      <c r="E174" s="142">
        <v>5</v>
      </c>
      <c r="F174" s="142">
        <v>5</v>
      </c>
      <c r="G174" s="144">
        <v>5</v>
      </c>
      <c r="H174" s="142">
        <f>ABS(Table1[[#This Row],[WaterDemUnits]]-Table1[[#This Row],[WaterSUIPs]])</f>
        <v>0</v>
      </c>
    </row>
    <row r="175" spans="2:8" ht="14.65" thickBot="1" x14ac:dyDescent="0.5">
      <c r="B175" s="143" t="s">
        <v>71</v>
      </c>
      <c r="C175" s="142" t="s">
        <v>248</v>
      </c>
      <c r="D175" s="142" t="s">
        <v>248</v>
      </c>
      <c r="E175" s="142">
        <v>8</v>
      </c>
      <c r="F175" s="142">
        <v>29</v>
      </c>
      <c r="G175" s="144">
        <v>89</v>
      </c>
      <c r="H175" s="142">
        <f>ABS(Table1[[#This Row],[WaterDemUnits]]-Table1[[#This Row],[WaterSUIPs]])</f>
        <v>60</v>
      </c>
    </row>
    <row r="176" spans="2:8" ht="14.65" thickBot="1" x14ac:dyDescent="0.5">
      <c r="B176" s="143" t="s">
        <v>71</v>
      </c>
      <c r="C176" s="142" t="s">
        <v>183</v>
      </c>
      <c r="D176" s="142" t="s">
        <v>183</v>
      </c>
      <c r="E176" s="142">
        <v>181</v>
      </c>
      <c r="F176" s="142">
        <v>370</v>
      </c>
      <c r="G176" s="144">
        <v>370</v>
      </c>
      <c r="H176" s="142">
        <f>ABS(Table1[[#This Row],[WaterDemUnits]]-Table1[[#This Row],[WaterSUIPs]])</f>
        <v>0</v>
      </c>
    </row>
    <row r="177" spans="2:8" ht="14.65" thickBot="1" x14ac:dyDescent="0.5">
      <c r="B177" s="148" t="s">
        <v>71</v>
      </c>
      <c r="C177" s="149" t="s">
        <v>181</v>
      </c>
      <c r="D177" s="149" t="s">
        <v>255</v>
      </c>
      <c r="E177" s="149">
        <v>1</v>
      </c>
      <c r="F177" s="149">
        <v>2</v>
      </c>
      <c r="G177" s="150">
        <v>2</v>
      </c>
      <c r="H177" s="149">
        <f>ABS(Table1[[#This Row],[WaterDemUnits]]-Table1[[#This Row],[WaterSUIPs]])</f>
        <v>0</v>
      </c>
    </row>
    <row r="178" spans="2:8" x14ac:dyDescent="0.45">
      <c r="B178" s="148"/>
      <c r="C178" s="149"/>
      <c r="D178" s="149"/>
      <c r="E178" s="149"/>
      <c r="F178" s="149"/>
      <c r="G178" s="150"/>
      <c r="H178" s="149">
        <f>SUBTOTAL(109,Table1[Difference (Absolute)])</f>
        <v>1975</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C7BB-B0A3-42AE-A3C3-197429CE4563}">
  <dimension ref="B3:N27"/>
  <sheetViews>
    <sheetView workbookViewId="0">
      <selection activeCell="E19" sqref="E19"/>
    </sheetView>
  </sheetViews>
  <sheetFormatPr defaultRowHeight="14.25" x14ac:dyDescent="0.45"/>
  <cols>
    <col min="1" max="1" width="5.86328125" customWidth="1"/>
    <col min="2" max="2" width="16.46484375" customWidth="1"/>
    <col min="3" max="3" width="12.9296875" customWidth="1"/>
    <col min="4" max="4" width="14" customWidth="1"/>
    <col min="11" max="11" width="20.9296875" customWidth="1"/>
    <col min="12" max="12" width="15.73046875" customWidth="1"/>
    <col min="13" max="13" width="18.59765625" customWidth="1"/>
    <col min="14" max="14" width="19.9296875" bestFit="1" customWidth="1"/>
  </cols>
  <sheetData>
    <row r="3" spans="2:14" x14ac:dyDescent="0.45">
      <c r="B3" s="62" t="s">
        <v>134</v>
      </c>
    </row>
    <row r="4" spans="2:14" ht="52.9" x14ac:dyDescent="0.45">
      <c r="B4" s="80"/>
      <c r="C4" s="81" t="s">
        <v>135</v>
      </c>
      <c r="D4" s="81" t="s">
        <v>136</v>
      </c>
      <c r="E4" s="81" t="s">
        <v>137</v>
      </c>
      <c r="F4" s="81" t="s">
        <v>138</v>
      </c>
      <c r="G4" s="81" t="s">
        <v>139</v>
      </c>
      <c r="H4" s="81" t="s">
        <v>140</v>
      </c>
      <c r="I4" s="81" t="s">
        <v>141</v>
      </c>
      <c r="J4" s="81" t="s">
        <v>142</v>
      </c>
      <c r="K4" s="82" t="s">
        <v>143</v>
      </c>
      <c r="L4" s="82" t="s">
        <v>188</v>
      </c>
      <c r="M4" s="154" t="s">
        <v>268</v>
      </c>
      <c r="N4" s="154" t="s">
        <v>269</v>
      </c>
    </row>
    <row r="5" spans="2:14" x14ac:dyDescent="0.45">
      <c r="B5" s="83" t="s">
        <v>144</v>
      </c>
      <c r="C5" s="85">
        <v>25447</v>
      </c>
      <c r="D5" s="85">
        <v>1464</v>
      </c>
      <c r="E5" s="85">
        <v>5945</v>
      </c>
      <c r="F5" s="85">
        <v>5197</v>
      </c>
      <c r="G5" s="85">
        <v>1047</v>
      </c>
      <c r="H5" s="85">
        <v>19</v>
      </c>
      <c r="I5" s="85"/>
      <c r="J5" s="85">
        <v>1637</v>
      </c>
      <c r="K5" s="87">
        <f>SUM(C5:J5)/1000</f>
        <v>40.756</v>
      </c>
      <c r="L5" s="85">
        <v>58</v>
      </c>
      <c r="M5" s="153">
        <f>VLOOKUP(B5,$B$19:$F$27,3,FALSE)</f>
        <v>7.3274220000000003</v>
      </c>
      <c r="N5" s="155">
        <f>+M5-K5</f>
        <v>-33.428578000000002</v>
      </c>
    </row>
    <row r="6" spans="2:14" x14ac:dyDescent="0.45">
      <c r="B6" s="83" t="s">
        <v>65</v>
      </c>
      <c r="C6" s="85">
        <v>8377</v>
      </c>
      <c r="D6" s="85"/>
      <c r="E6" s="85">
        <v>1328</v>
      </c>
      <c r="F6" s="85">
        <v>1730</v>
      </c>
      <c r="G6" s="85">
        <v>946</v>
      </c>
      <c r="H6" s="85">
        <v>5</v>
      </c>
      <c r="I6" s="85"/>
      <c r="J6" s="85"/>
      <c r="K6" s="87">
        <f t="shared" ref="K6:K14" si="0">SUM(C6:J6)/1000</f>
        <v>12.385999999999999</v>
      </c>
      <c r="L6" s="85">
        <v>82</v>
      </c>
      <c r="M6" s="153">
        <f t="shared" ref="M6:M14" si="1">VLOOKUP(B6,$B$19:$F$27,3,FALSE)</f>
        <v>1.4338469999999999</v>
      </c>
      <c r="N6" s="155">
        <f t="shared" ref="N6:N14" si="2">+M6-K6</f>
        <v>-10.952152999999999</v>
      </c>
    </row>
    <row r="7" spans="2:14" x14ac:dyDescent="0.45">
      <c r="B7" s="83" t="s">
        <v>59</v>
      </c>
      <c r="C7" s="85">
        <v>7914</v>
      </c>
      <c r="D7" s="85"/>
      <c r="E7" s="85">
        <v>944</v>
      </c>
      <c r="F7" s="85">
        <v>668</v>
      </c>
      <c r="G7" s="85">
        <v>1206</v>
      </c>
      <c r="H7" s="85">
        <v>678</v>
      </c>
      <c r="I7" s="85"/>
      <c r="J7" s="85"/>
      <c r="K7" s="87">
        <f t="shared" si="0"/>
        <v>11.41</v>
      </c>
      <c r="L7" s="85">
        <v>40</v>
      </c>
      <c r="M7" s="153">
        <f t="shared" si="1"/>
        <v>1.2260300000000002</v>
      </c>
      <c r="N7" s="155">
        <f t="shared" si="2"/>
        <v>-10.18397</v>
      </c>
    </row>
    <row r="8" spans="2:14" x14ac:dyDescent="0.45">
      <c r="B8" s="83" t="s">
        <v>338</v>
      </c>
      <c r="C8" s="85">
        <v>18779</v>
      </c>
      <c r="D8" s="85">
        <v>1063</v>
      </c>
      <c r="E8" s="85">
        <v>7082</v>
      </c>
      <c r="F8" s="85">
        <v>4848</v>
      </c>
      <c r="G8" s="85">
        <v>181</v>
      </c>
      <c r="H8" s="85">
        <v>2035</v>
      </c>
      <c r="I8" s="85">
        <v>427</v>
      </c>
      <c r="J8" s="85"/>
      <c r="K8" s="87">
        <f t="shared" si="0"/>
        <v>34.414999999999999</v>
      </c>
      <c r="L8" s="85">
        <v>76</v>
      </c>
      <c r="M8" s="153">
        <f t="shared" si="1"/>
        <v>9.1082640000000001</v>
      </c>
      <c r="N8" s="155">
        <f t="shared" si="2"/>
        <v>-25.306736000000001</v>
      </c>
    </row>
    <row r="9" spans="2:14" x14ac:dyDescent="0.45">
      <c r="B9" s="84" t="s">
        <v>145</v>
      </c>
      <c r="C9" s="85">
        <v>48692</v>
      </c>
      <c r="D9" s="85">
        <v>5293</v>
      </c>
      <c r="E9" s="85">
        <v>6750</v>
      </c>
      <c r="F9" s="85">
        <v>17400</v>
      </c>
      <c r="G9" s="85">
        <v>5766</v>
      </c>
      <c r="H9" s="85">
        <v>290</v>
      </c>
      <c r="I9" s="85"/>
      <c r="J9" s="85"/>
      <c r="K9" s="87">
        <f t="shared" si="0"/>
        <v>84.191000000000003</v>
      </c>
      <c r="L9" s="85">
        <v>58</v>
      </c>
      <c r="M9" s="153"/>
      <c r="N9" s="155"/>
    </row>
    <row r="10" spans="2:14" x14ac:dyDescent="0.45">
      <c r="B10" s="83" t="s">
        <v>67</v>
      </c>
      <c r="C10" s="85"/>
      <c r="D10" s="85"/>
      <c r="E10" s="85"/>
      <c r="F10" s="85"/>
      <c r="G10" s="85"/>
      <c r="H10" s="85"/>
      <c r="I10" s="85"/>
      <c r="J10" s="85"/>
      <c r="K10" s="87">
        <f>L9*$J$9</f>
        <v>0</v>
      </c>
      <c r="L10" s="85"/>
      <c r="M10" s="153">
        <f t="shared" si="1"/>
        <v>3.9188100000000001</v>
      </c>
      <c r="N10" s="155">
        <f t="shared" si="2"/>
        <v>3.9188100000000001</v>
      </c>
    </row>
    <row r="11" spans="2:14" x14ac:dyDescent="0.45">
      <c r="B11" s="83" t="s">
        <v>337</v>
      </c>
      <c r="C11" s="85"/>
      <c r="D11" s="85"/>
      <c r="E11" s="85"/>
      <c r="F11" s="85"/>
      <c r="G11" s="85"/>
      <c r="H11" s="85"/>
      <c r="I11" s="85"/>
      <c r="J11" s="85"/>
      <c r="K11" s="87">
        <f>L10*$J$9</f>
        <v>0</v>
      </c>
      <c r="L11" s="85"/>
      <c r="M11" s="153">
        <f t="shared" si="1"/>
        <v>2.7296630000000004</v>
      </c>
      <c r="N11" s="155">
        <f t="shared" si="2"/>
        <v>2.7296630000000004</v>
      </c>
    </row>
    <row r="12" spans="2:14" x14ac:dyDescent="0.45">
      <c r="B12" s="83" t="s">
        <v>68</v>
      </c>
      <c r="C12" s="85">
        <v>6822</v>
      </c>
      <c r="D12" s="85"/>
      <c r="E12" s="85">
        <v>991</v>
      </c>
      <c r="F12" s="85">
        <v>983</v>
      </c>
      <c r="G12" s="85">
        <v>441</v>
      </c>
      <c r="H12" s="85"/>
      <c r="I12" s="85"/>
      <c r="J12" s="85"/>
      <c r="K12" s="87">
        <f t="shared" si="0"/>
        <v>9.2370000000000001</v>
      </c>
      <c r="L12" s="85">
        <v>67</v>
      </c>
      <c r="M12" s="153">
        <f t="shared" si="1"/>
        <v>1.209972</v>
      </c>
      <c r="N12" s="155">
        <f t="shared" si="2"/>
        <v>-8.0270279999999996</v>
      </c>
    </row>
    <row r="13" spans="2:14" x14ac:dyDescent="0.45">
      <c r="B13" s="83" t="s">
        <v>70</v>
      </c>
      <c r="C13" s="85">
        <v>117297</v>
      </c>
      <c r="D13" s="85">
        <v>34449</v>
      </c>
      <c r="E13" s="85">
        <v>25299</v>
      </c>
      <c r="F13" s="85">
        <v>15845</v>
      </c>
      <c r="G13" s="85">
        <v>6003</v>
      </c>
      <c r="H13" s="85">
        <v>3337</v>
      </c>
      <c r="I13" s="85">
        <v>2371</v>
      </c>
      <c r="J13" s="85"/>
      <c r="K13" s="87">
        <f t="shared" si="0"/>
        <v>204.601</v>
      </c>
      <c r="L13" s="85">
        <v>67</v>
      </c>
      <c r="M13" s="153">
        <f t="shared" si="1"/>
        <v>26.749768</v>
      </c>
      <c r="N13" s="155">
        <f t="shared" si="2"/>
        <v>-177.85123200000001</v>
      </c>
    </row>
    <row r="14" spans="2:14" x14ac:dyDescent="0.45">
      <c r="B14" s="83" t="s">
        <v>71</v>
      </c>
      <c r="C14" s="85">
        <v>161854</v>
      </c>
      <c r="D14" s="85">
        <v>43092</v>
      </c>
      <c r="E14" s="85">
        <v>32570</v>
      </c>
      <c r="F14" s="85">
        <v>11188</v>
      </c>
      <c r="G14" s="85">
        <v>5795</v>
      </c>
      <c r="H14" s="85">
        <v>3462</v>
      </c>
      <c r="I14" s="85">
        <v>177</v>
      </c>
      <c r="J14" s="85"/>
      <c r="K14" s="87">
        <f t="shared" si="0"/>
        <v>258.13799999999998</v>
      </c>
      <c r="L14" s="85">
        <v>58</v>
      </c>
      <c r="M14" s="153">
        <f t="shared" si="1"/>
        <v>39.001303999999998</v>
      </c>
      <c r="N14" s="155">
        <f t="shared" si="2"/>
        <v>-219.13669599999997</v>
      </c>
    </row>
    <row r="15" spans="2:14" x14ac:dyDescent="0.45">
      <c r="K15" s="156">
        <f>SUM(K5:K14)</f>
        <v>655.13400000000001</v>
      </c>
      <c r="L15" t="s">
        <v>127</v>
      </c>
      <c r="M15" s="156">
        <f>SUM(M5:M14)</f>
        <v>92.705080000000009</v>
      </c>
      <c r="N15" s="104">
        <f>SUM(N5:N14)</f>
        <v>-478.23791999999997</v>
      </c>
    </row>
    <row r="16" spans="2:14" x14ac:dyDescent="0.45">
      <c r="B16" s="68" t="s">
        <v>267</v>
      </c>
    </row>
    <row r="17" spans="2:6" x14ac:dyDescent="0.45">
      <c r="B17" s="68" t="s">
        <v>334</v>
      </c>
    </row>
    <row r="18" spans="2:6" ht="36" customHeight="1" x14ac:dyDescent="0.45">
      <c r="B18" s="68"/>
      <c r="C18" s="182" t="s">
        <v>335</v>
      </c>
      <c r="D18" s="182" t="s">
        <v>336</v>
      </c>
      <c r="E18" s="182" t="s">
        <v>160</v>
      </c>
    </row>
    <row r="19" spans="2:6" x14ac:dyDescent="0.45">
      <c r="B19" s="83" t="s">
        <v>258</v>
      </c>
      <c r="C19" s="85">
        <v>33.434379</v>
      </c>
      <c r="D19" s="85">
        <v>7.3274220000000003</v>
      </c>
      <c r="E19" s="85">
        <f>+D19+C19</f>
        <v>40.761800999999998</v>
      </c>
      <c r="F19" s="153"/>
    </row>
    <row r="20" spans="2:6" x14ac:dyDescent="0.45">
      <c r="B20" s="83" t="s">
        <v>259</v>
      </c>
      <c r="C20" s="85">
        <v>10.396429999999999</v>
      </c>
      <c r="D20" s="85">
        <v>1.4338469999999999</v>
      </c>
      <c r="E20" s="85">
        <f t="shared" ref="E20:E27" si="3">+D20+C20</f>
        <v>11.830276999999999</v>
      </c>
      <c r="F20" s="153"/>
    </row>
    <row r="21" spans="2:6" x14ac:dyDescent="0.45">
      <c r="B21" s="83" t="s">
        <v>260</v>
      </c>
      <c r="C21" s="85">
        <v>12.40053</v>
      </c>
      <c r="D21" s="85">
        <v>1.2260300000000002</v>
      </c>
      <c r="E21" s="85">
        <f t="shared" si="3"/>
        <v>13.62656</v>
      </c>
      <c r="F21" s="153"/>
    </row>
    <row r="22" spans="2:6" x14ac:dyDescent="0.45">
      <c r="B22" s="83" t="s">
        <v>261</v>
      </c>
      <c r="C22" s="85">
        <v>35.484960000000001</v>
      </c>
      <c r="D22" s="85">
        <v>9.1082640000000001</v>
      </c>
      <c r="E22" s="85">
        <f t="shared" si="3"/>
        <v>44.593223999999999</v>
      </c>
      <c r="F22" s="153"/>
    </row>
    <row r="23" spans="2:6" x14ac:dyDescent="0.45">
      <c r="B23" s="83" t="s">
        <v>262</v>
      </c>
      <c r="C23" s="85">
        <v>38.320080000000004</v>
      </c>
      <c r="D23" s="85">
        <v>3.9188100000000001</v>
      </c>
      <c r="E23" s="85">
        <f t="shared" si="3"/>
        <v>42.238890000000005</v>
      </c>
      <c r="F23" s="153"/>
    </row>
    <row r="24" spans="2:6" x14ac:dyDescent="0.45">
      <c r="B24" s="83" t="s">
        <v>263</v>
      </c>
      <c r="C24" s="85">
        <v>5.7401999999999997</v>
      </c>
      <c r="D24" s="85">
        <v>1.209972</v>
      </c>
      <c r="E24" s="85">
        <f t="shared" si="3"/>
        <v>6.9501720000000002</v>
      </c>
      <c r="F24" s="153"/>
    </row>
    <row r="25" spans="2:6" x14ac:dyDescent="0.45">
      <c r="B25" s="83" t="s">
        <v>264</v>
      </c>
      <c r="C25" s="85">
        <v>152.385716</v>
      </c>
      <c r="D25" s="85">
        <v>26.749768</v>
      </c>
      <c r="E25" s="85">
        <f t="shared" si="3"/>
        <v>179.13548399999999</v>
      </c>
      <c r="F25" s="153"/>
    </row>
    <row r="26" spans="2:6" x14ac:dyDescent="0.45">
      <c r="B26" s="83" t="s">
        <v>265</v>
      </c>
      <c r="C26" s="85">
        <v>5.6263779999999999</v>
      </c>
      <c r="D26" s="85">
        <v>2.7296630000000004</v>
      </c>
      <c r="E26" s="85">
        <f t="shared" si="3"/>
        <v>8.3560410000000012</v>
      </c>
      <c r="F26" s="153"/>
    </row>
    <row r="27" spans="2:6" x14ac:dyDescent="0.45">
      <c r="B27" s="83" t="s">
        <v>266</v>
      </c>
      <c r="C27" s="85">
        <v>197.91684900000001</v>
      </c>
      <c r="D27" s="85">
        <v>39.001303999999998</v>
      </c>
      <c r="E27" s="85">
        <f t="shared" si="3"/>
        <v>236.91815300000002</v>
      </c>
      <c r="F27" s="1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5DAC-18A9-4FE5-AE1F-32EE09C9C656}">
  <dimension ref="A2:P62"/>
  <sheetViews>
    <sheetView topLeftCell="B1" zoomScale="70" zoomScaleNormal="70" workbookViewId="0">
      <selection activeCell="O33" sqref="O33"/>
    </sheetView>
  </sheetViews>
  <sheetFormatPr defaultRowHeight="14.25" x14ac:dyDescent="0.45"/>
  <cols>
    <col min="1" max="1" width="20.9296875" customWidth="1"/>
    <col min="2" max="2" width="27.3984375" customWidth="1"/>
    <col min="3" max="3" width="25.1328125" customWidth="1"/>
    <col min="4" max="4" width="28.33203125" customWidth="1"/>
    <col min="5" max="5" width="47.53125" customWidth="1"/>
    <col min="6" max="11" width="17.73046875" customWidth="1"/>
    <col min="12" max="12" width="22.19921875" bestFit="1" customWidth="1"/>
    <col min="13" max="16" width="17.73046875" customWidth="1"/>
  </cols>
  <sheetData>
    <row r="2" spans="2:16" x14ac:dyDescent="0.45">
      <c r="B2" t="s">
        <v>177</v>
      </c>
    </row>
    <row r="3" spans="2:16" x14ac:dyDescent="0.45">
      <c r="B3" t="s">
        <v>178</v>
      </c>
    </row>
    <row r="4" spans="2:16" ht="63" x14ac:dyDescent="0.65">
      <c r="B4" s="60" t="s">
        <v>246</v>
      </c>
      <c r="C4" s="60" t="s">
        <v>1</v>
      </c>
      <c r="D4" s="60" t="s">
        <v>2</v>
      </c>
      <c r="E4" s="60" t="s">
        <v>211</v>
      </c>
      <c r="F4" s="61" t="s">
        <v>121</v>
      </c>
      <c r="G4" s="60" t="s">
        <v>65</v>
      </c>
      <c r="H4" s="60" t="s">
        <v>59</v>
      </c>
      <c r="I4" s="60" t="s">
        <v>66</v>
      </c>
      <c r="J4" s="60" t="s">
        <v>67</v>
      </c>
      <c r="K4" s="60" t="s">
        <v>68</v>
      </c>
      <c r="L4" s="60" t="s">
        <v>69</v>
      </c>
      <c r="M4" s="60" t="s">
        <v>70</v>
      </c>
      <c r="N4" s="60" t="s">
        <v>71</v>
      </c>
      <c r="O4" s="61" t="s">
        <v>204</v>
      </c>
      <c r="P4" s="61" t="s">
        <v>198</v>
      </c>
    </row>
    <row r="5" spans="2:16" ht="21" x14ac:dyDescent="0.65">
      <c r="B5" s="60"/>
      <c r="C5" s="60"/>
      <c r="D5" s="60"/>
      <c r="E5" s="60"/>
      <c r="F5" s="61" t="s">
        <v>214</v>
      </c>
      <c r="G5" s="60" t="s">
        <v>215</v>
      </c>
      <c r="H5" s="60" t="s">
        <v>216</v>
      </c>
      <c r="I5" s="60" t="s">
        <v>217</v>
      </c>
      <c r="J5" s="60" t="s">
        <v>218</v>
      </c>
      <c r="K5" s="60" t="s">
        <v>219</v>
      </c>
      <c r="L5" s="60" t="s">
        <v>220</v>
      </c>
      <c r="M5" s="60" t="s">
        <v>221</v>
      </c>
      <c r="N5" s="60" t="s">
        <v>222</v>
      </c>
      <c r="O5" s="60"/>
      <c r="P5" s="60"/>
    </row>
    <row r="6" spans="2:16" x14ac:dyDescent="0.45">
      <c r="B6" t="s">
        <v>179</v>
      </c>
      <c r="C6" s="55" t="s">
        <v>186</v>
      </c>
      <c r="D6" s="4" t="s">
        <v>187</v>
      </c>
      <c r="E6" s="94"/>
      <c r="F6" s="76">
        <v>1000</v>
      </c>
      <c r="G6" s="76">
        <v>750</v>
      </c>
      <c r="H6" s="76">
        <v>1200</v>
      </c>
      <c r="I6" s="76">
        <v>900</v>
      </c>
      <c r="J6" s="76">
        <v>700</v>
      </c>
      <c r="K6" s="76">
        <v>900</v>
      </c>
      <c r="L6" s="76">
        <v>700</v>
      </c>
      <c r="M6" s="76">
        <v>900</v>
      </c>
      <c r="N6" s="76">
        <v>1000</v>
      </c>
      <c r="O6" s="76">
        <v>1000</v>
      </c>
      <c r="P6" s="76">
        <v>1000</v>
      </c>
    </row>
    <row r="7" spans="2:16" x14ac:dyDescent="0.45">
      <c r="B7" t="s">
        <v>180</v>
      </c>
      <c r="C7" s="55" t="s">
        <v>186</v>
      </c>
      <c r="D7" s="4" t="s">
        <v>187</v>
      </c>
      <c r="E7" s="94"/>
      <c r="F7" s="76">
        <v>600</v>
      </c>
      <c r="G7" s="76"/>
      <c r="H7" s="76">
        <v>600</v>
      </c>
      <c r="I7" s="76">
        <v>600</v>
      </c>
      <c r="J7" s="76">
        <v>600</v>
      </c>
      <c r="K7" s="76">
        <v>600</v>
      </c>
      <c r="L7" s="76">
        <v>300</v>
      </c>
      <c r="M7" s="76">
        <v>600</v>
      </c>
      <c r="N7" s="76">
        <v>600</v>
      </c>
      <c r="O7" s="76">
        <v>600</v>
      </c>
      <c r="P7" s="76">
        <v>600</v>
      </c>
    </row>
    <row r="8" spans="2:16" x14ac:dyDescent="0.45">
      <c r="B8" t="s">
        <v>181</v>
      </c>
      <c r="C8" s="55" t="s">
        <v>186</v>
      </c>
      <c r="D8" s="4" t="s">
        <v>187</v>
      </c>
      <c r="E8" s="94"/>
      <c r="F8" s="76">
        <v>2000</v>
      </c>
      <c r="G8" s="76">
        <v>2000</v>
      </c>
      <c r="H8" s="76">
        <v>1200</v>
      </c>
      <c r="I8" s="76">
        <v>2000</v>
      </c>
      <c r="J8" s="76">
        <v>2000</v>
      </c>
      <c r="K8" s="76">
        <v>2000</v>
      </c>
      <c r="L8" s="76">
        <v>2000</v>
      </c>
      <c r="M8" s="76">
        <v>2000</v>
      </c>
      <c r="N8" s="76">
        <v>2000</v>
      </c>
      <c r="O8" s="76">
        <v>2000</v>
      </c>
      <c r="P8" s="76">
        <v>2000</v>
      </c>
    </row>
    <row r="9" spans="2:16" x14ac:dyDescent="0.45">
      <c r="B9" t="s">
        <v>182</v>
      </c>
      <c r="C9" s="55" t="s">
        <v>186</v>
      </c>
      <c r="D9" s="4" t="s">
        <v>187</v>
      </c>
      <c r="E9" s="94"/>
      <c r="F9" s="76">
        <v>700</v>
      </c>
      <c r="G9" s="76">
        <v>700</v>
      </c>
      <c r="H9" s="76">
        <v>525</v>
      </c>
      <c r="I9" s="76">
        <v>350</v>
      </c>
      <c r="J9" s="76">
        <v>350</v>
      </c>
      <c r="K9" s="76">
        <v>350</v>
      </c>
      <c r="L9" s="76">
        <v>700</v>
      </c>
      <c r="M9" s="76">
        <v>700</v>
      </c>
      <c r="N9" s="76">
        <v>700</v>
      </c>
      <c r="O9" s="76">
        <v>700</v>
      </c>
      <c r="P9" s="76">
        <v>700</v>
      </c>
    </row>
    <row r="10" spans="2:16" x14ac:dyDescent="0.45">
      <c r="B10" t="s">
        <v>183</v>
      </c>
      <c r="C10" s="55" t="s">
        <v>186</v>
      </c>
      <c r="D10" s="4" t="s">
        <v>187</v>
      </c>
      <c r="E10" s="94"/>
      <c r="F10" s="76">
        <v>2000</v>
      </c>
      <c r="G10" s="76">
        <v>2000</v>
      </c>
      <c r="H10" s="76">
        <v>1050</v>
      </c>
      <c r="I10" s="76">
        <v>1400</v>
      </c>
      <c r="J10" s="76">
        <v>1400</v>
      </c>
      <c r="K10" s="76">
        <v>1400</v>
      </c>
      <c r="L10" s="76">
        <v>1400</v>
      </c>
      <c r="M10" s="76">
        <v>1400</v>
      </c>
      <c r="N10" s="76">
        <v>2000</v>
      </c>
      <c r="O10" s="76">
        <v>2000</v>
      </c>
      <c r="P10" s="76">
        <v>2000</v>
      </c>
    </row>
    <row r="11" spans="2:16" x14ac:dyDescent="0.45">
      <c r="B11" s="86" t="s">
        <v>184</v>
      </c>
      <c r="C11" s="55" t="s">
        <v>186</v>
      </c>
      <c r="D11" s="4"/>
      <c r="E11" s="94"/>
      <c r="F11" s="76"/>
      <c r="G11" s="76"/>
      <c r="H11" s="76"/>
      <c r="I11" s="76"/>
      <c r="J11" s="76"/>
      <c r="K11" s="76"/>
      <c r="L11" s="76"/>
      <c r="M11" s="76"/>
      <c r="N11" s="76"/>
      <c r="O11" s="76"/>
      <c r="P11" s="76"/>
    </row>
    <row r="12" spans="2:16" x14ac:dyDescent="0.45">
      <c r="B12" s="86" t="s">
        <v>185</v>
      </c>
      <c r="C12" s="55" t="s">
        <v>186</v>
      </c>
      <c r="D12" s="4"/>
      <c r="E12" s="94"/>
      <c r="F12" s="76"/>
      <c r="G12" s="76"/>
      <c r="H12" s="76"/>
      <c r="I12" s="76"/>
      <c r="J12" s="76"/>
      <c r="K12" s="76"/>
      <c r="L12" s="76"/>
      <c r="M12" s="76"/>
      <c r="N12" s="76"/>
      <c r="O12" s="76"/>
      <c r="P12" s="76"/>
    </row>
    <row r="15" spans="2:16" ht="63" x14ac:dyDescent="0.65">
      <c r="B15" s="60" t="s">
        <v>245</v>
      </c>
      <c r="F15" s="61" t="s">
        <v>121</v>
      </c>
      <c r="G15" s="60" t="s">
        <v>65</v>
      </c>
      <c r="H15" s="60" t="s">
        <v>59</v>
      </c>
      <c r="I15" s="60" t="s">
        <v>66</v>
      </c>
      <c r="J15" s="60" t="s">
        <v>67</v>
      </c>
      <c r="K15" s="60" t="s">
        <v>68</v>
      </c>
      <c r="L15" s="60" t="s">
        <v>69</v>
      </c>
      <c r="M15" s="60" t="s">
        <v>70</v>
      </c>
      <c r="N15" s="60" t="s">
        <v>71</v>
      </c>
      <c r="O15" s="61" t="s">
        <v>204</v>
      </c>
      <c r="P15" s="61" t="s">
        <v>198</v>
      </c>
    </row>
    <row r="16" spans="2:16" ht="21" x14ac:dyDescent="0.65">
      <c r="F16" s="61" t="s">
        <v>214</v>
      </c>
      <c r="G16" s="60" t="s">
        <v>215</v>
      </c>
      <c r="H16" s="60" t="s">
        <v>216</v>
      </c>
      <c r="I16" s="60" t="s">
        <v>217</v>
      </c>
      <c r="J16" s="60" t="s">
        <v>218</v>
      </c>
      <c r="K16" s="60" t="s">
        <v>219</v>
      </c>
      <c r="L16" s="60" t="s">
        <v>220</v>
      </c>
      <c r="M16" s="60" t="s">
        <v>221</v>
      </c>
      <c r="N16" s="60" t="s">
        <v>222</v>
      </c>
      <c r="O16" s="60"/>
      <c r="P16" s="60"/>
    </row>
    <row r="17" spans="2:16" x14ac:dyDescent="0.45">
      <c r="B17" t="s">
        <v>179</v>
      </c>
      <c r="C17" s="55" t="s">
        <v>186</v>
      </c>
      <c r="D17" s="4" t="s">
        <v>187</v>
      </c>
      <c r="E17" s="94"/>
      <c r="F17" s="76"/>
      <c r="G17" s="76"/>
      <c r="H17" s="76">
        <v>550</v>
      </c>
      <c r="I17" s="76"/>
      <c r="J17" s="76"/>
      <c r="K17" s="76">
        <v>900</v>
      </c>
      <c r="L17" s="76"/>
      <c r="M17" s="76"/>
      <c r="N17" s="76"/>
      <c r="O17" s="76"/>
      <c r="P17" s="76"/>
    </row>
    <row r="18" spans="2:16" x14ac:dyDescent="0.45">
      <c r="B18" t="s">
        <v>180</v>
      </c>
      <c r="C18" s="55" t="s">
        <v>186</v>
      </c>
      <c r="D18" s="4" t="s">
        <v>187</v>
      </c>
      <c r="E18" s="94"/>
      <c r="F18" s="76"/>
      <c r="G18" s="76"/>
      <c r="H18" s="76">
        <v>550</v>
      </c>
      <c r="I18" s="76"/>
      <c r="J18" s="76"/>
      <c r="K18" s="76">
        <v>900</v>
      </c>
      <c r="L18" s="76"/>
      <c r="M18" s="76"/>
      <c r="N18" s="76"/>
      <c r="O18" s="76"/>
      <c r="P18" s="76"/>
    </row>
    <row r="19" spans="2:16" x14ac:dyDescent="0.45">
      <c r="B19" t="s">
        <v>181</v>
      </c>
      <c r="C19" s="55" t="s">
        <v>186</v>
      </c>
      <c r="D19" s="4" t="s">
        <v>187</v>
      </c>
      <c r="E19" s="94"/>
      <c r="F19" s="76"/>
      <c r="G19" s="76"/>
      <c r="H19" s="76"/>
      <c r="I19" s="76"/>
      <c r="J19" s="76"/>
      <c r="K19" s="76"/>
      <c r="L19" s="76"/>
      <c r="M19" s="76"/>
      <c r="N19" s="76"/>
      <c r="O19" s="76"/>
      <c r="P19" s="76"/>
    </row>
    <row r="20" spans="2:16" x14ac:dyDescent="0.45">
      <c r="B20" t="s">
        <v>182</v>
      </c>
      <c r="C20" s="55" t="s">
        <v>186</v>
      </c>
      <c r="D20" s="4" t="s">
        <v>187</v>
      </c>
      <c r="E20" s="94"/>
      <c r="F20" s="76"/>
      <c r="G20" s="76"/>
      <c r="H20" s="76"/>
      <c r="I20" s="76"/>
      <c r="J20" s="76"/>
      <c r="K20" s="76"/>
      <c r="L20" s="76"/>
      <c r="M20" s="76"/>
      <c r="N20" s="76"/>
      <c r="O20" s="76"/>
      <c r="P20" s="76"/>
    </row>
    <row r="21" spans="2:16" x14ac:dyDescent="0.45">
      <c r="B21" t="s">
        <v>183</v>
      </c>
      <c r="C21" s="55" t="s">
        <v>186</v>
      </c>
      <c r="D21" s="4" t="s">
        <v>187</v>
      </c>
      <c r="E21" s="94"/>
      <c r="F21" s="76"/>
      <c r="G21" s="76"/>
      <c r="H21" s="76"/>
      <c r="I21" s="76"/>
      <c r="J21" s="76"/>
      <c r="K21" s="76"/>
      <c r="L21" s="76"/>
      <c r="M21" s="76"/>
      <c r="N21" s="76"/>
      <c r="O21" s="76"/>
      <c r="P21" s="76"/>
    </row>
    <row r="22" spans="2:16" x14ac:dyDescent="0.45">
      <c r="B22" s="86" t="s">
        <v>184</v>
      </c>
      <c r="C22" s="55" t="s">
        <v>186</v>
      </c>
      <c r="D22" s="4"/>
      <c r="E22" s="94"/>
      <c r="F22" s="76"/>
      <c r="G22" s="76"/>
      <c r="H22" s="76"/>
      <c r="I22" s="76"/>
      <c r="J22" s="76"/>
      <c r="K22" s="76"/>
      <c r="L22" s="76"/>
      <c r="M22" s="76"/>
      <c r="N22" s="76"/>
      <c r="O22" s="76"/>
      <c r="P22" s="76"/>
    </row>
    <row r="23" spans="2:16" x14ac:dyDescent="0.45">
      <c r="B23" s="86" t="s">
        <v>185</v>
      </c>
      <c r="C23" s="55" t="s">
        <v>186</v>
      </c>
      <c r="D23" s="4"/>
      <c r="E23" s="94"/>
      <c r="F23" s="76"/>
      <c r="G23" s="76"/>
      <c r="H23" s="76"/>
      <c r="I23" s="76"/>
      <c r="J23" s="76"/>
      <c r="K23" s="76"/>
      <c r="L23" s="76"/>
      <c r="M23" s="76"/>
      <c r="N23" s="76"/>
      <c r="O23" s="76"/>
      <c r="P23" s="76"/>
    </row>
    <row r="27" spans="2:16" ht="63" x14ac:dyDescent="0.65">
      <c r="F27" s="61" t="s">
        <v>121</v>
      </c>
      <c r="G27" s="60" t="s">
        <v>65</v>
      </c>
      <c r="H27" s="60" t="s">
        <v>59</v>
      </c>
      <c r="I27" s="60" t="s">
        <v>66</v>
      </c>
      <c r="J27" s="60" t="s">
        <v>67</v>
      </c>
      <c r="K27" s="60" t="s">
        <v>68</v>
      </c>
      <c r="L27" s="60" t="s">
        <v>69</v>
      </c>
      <c r="M27" s="60" t="s">
        <v>70</v>
      </c>
      <c r="N27" s="60" t="s">
        <v>71</v>
      </c>
      <c r="O27" s="61" t="s">
        <v>204</v>
      </c>
      <c r="P27" s="61" t="s">
        <v>198</v>
      </c>
    </row>
    <row r="28" spans="2:16" ht="21" x14ac:dyDescent="0.65">
      <c r="B28" s="2" t="s">
        <v>231</v>
      </c>
      <c r="E28" s="60" t="s">
        <v>211</v>
      </c>
      <c r="F28" s="61" t="s">
        <v>214</v>
      </c>
      <c r="G28" s="60" t="s">
        <v>215</v>
      </c>
      <c r="H28" s="60" t="s">
        <v>216</v>
      </c>
      <c r="I28" s="60" t="s">
        <v>217</v>
      </c>
      <c r="J28" s="60" t="s">
        <v>218</v>
      </c>
      <c r="K28" s="60" t="s">
        <v>219</v>
      </c>
      <c r="L28" s="60" t="s">
        <v>220</v>
      </c>
      <c r="M28" s="60" t="s">
        <v>221</v>
      </c>
      <c r="N28" s="60" t="s">
        <v>222</v>
      </c>
      <c r="O28" s="60"/>
      <c r="P28" s="60"/>
    </row>
    <row r="29" spans="2:16" x14ac:dyDescent="0.45">
      <c r="B29" t="s">
        <v>179</v>
      </c>
      <c r="C29" s="55" t="s">
        <v>232</v>
      </c>
      <c r="D29" t="s">
        <v>233</v>
      </c>
      <c r="E29" t="s">
        <v>234</v>
      </c>
      <c r="F29" s="76">
        <v>100</v>
      </c>
      <c r="G29" s="76"/>
      <c r="H29" s="76"/>
      <c r="I29" s="76"/>
      <c r="J29" s="76"/>
      <c r="K29" s="76"/>
      <c r="L29" s="76"/>
      <c r="M29" s="76"/>
      <c r="N29" s="76"/>
      <c r="O29" s="76"/>
      <c r="P29" s="76">
        <f>58/2</f>
        <v>29</v>
      </c>
    </row>
    <row r="30" spans="2:16" x14ac:dyDescent="0.45">
      <c r="B30" t="s">
        <v>180</v>
      </c>
      <c r="C30" s="55"/>
      <c r="E30" t="s">
        <v>234</v>
      </c>
      <c r="F30" s="76">
        <v>29</v>
      </c>
      <c r="G30" s="76"/>
      <c r="H30" s="76"/>
      <c r="I30" s="76"/>
      <c r="J30" s="76"/>
      <c r="K30" s="76"/>
      <c r="L30" s="76"/>
      <c r="M30" s="76"/>
      <c r="N30" s="76"/>
      <c r="O30" s="76"/>
      <c r="P30" s="76"/>
    </row>
    <row r="31" spans="2:16" x14ac:dyDescent="0.45">
      <c r="B31" t="s">
        <v>181</v>
      </c>
      <c r="C31" s="55"/>
      <c r="E31" t="s">
        <v>234</v>
      </c>
      <c r="F31" s="76">
        <v>234</v>
      </c>
      <c r="G31" s="76"/>
      <c r="H31" s="76"/>
      <c r="I31" s="76"/>
      <c r="J31" s="76"/>
      <c r="K31" s="76"/>
      <c r="L31" s="76"/>
      <c r="M31" s="76"/>
      <c r="N31" s="76"/>
      <c r="O31" s="76"/>
      <c r="P31" s="76"/>
    </row>
    <row r="32" spans="2:16" x14ac:dyDescent="0.45">
      <c r="B32" t="s">
        <v>182</v>
      </c>
      <c r="C32" s="55"/>
      <c r="E32" t="s">
        <v>234</v>
      </c>
      <c r="F32" s="76"/>
      <c r="G32" s="76"/>
      <c r="H32" s="76"/>
      <c r="I32" s="76"/>
      <c r="J32" s="76"/>
      <c r="K32" s="76"/>
      <c r="L32" s="76"/>
      <c r="M32" s="76"/>
      <c r="N32" s="76"/>
      <c r="O32" s="76"/>
      <c r="P32" s="76"/>
    </row>
    <row r="33" spans="1:16" x14ac:dyDescent="0.45">
      <c r="B33" t="s">
        <v>183</v>
      </c>
      <c r="C33" s="55"/>
      <c r="E33" t="s">
        <v>234</v>
      </c>
      <c r="F33" s="76"/>
      <c r="G33" s="76"/>
      <c r="H33" s="76"/>
      <c r="I33" s="76"/>
      <c r="J33" s="76"/>
      <c r="K33" s="76"/>
      <c r="L33" s="76"/>
      <c r="M33" s="76"/>
      <c r="N33" s="76"/>
      <c r="O33" s="76">
        <v>20</v>
      </c>
      <c r="P33" s="76"/>
    </row>
    <row r="34" spans="1:16" x14ac:dyDescent="0.45">
      <c r="B34" t="s">
        <v>184</v>
      </c>
      <c r="C34" s="55"/>
      <c r="E34" t="s">
        <v>234</v>
      </c>
      <c r="F34" s="76"/>
      <c r="G34" s="76"/>
      <c r="H34" s="76"/>
      <c r="I34" s="76"/>
      <c r="J34" s="76"/>
      <c r="K34" s="76"/>
      <c r="L34" s="76"/>
      <c r="M34" s="76"/>
      <c r="N34" s="76"/>
      <c r="O34" s="76"/>
      <c r="P34" s="76"/>
    </row>
    <row r="35" spans="1:16" x14ac:dyDescent="0.45">
      <c r="B35" t="s">
        <v>185</v>
      </c>
      <c r="C35" s="55"/>
      <c r="E35" t="s">
        <v>234</v>
      </c>
      <c r="F35" s="76"/>
      <c r="G35" s="76"/>
      <c r="H35" s="76"/>
      <c r="I35" s="76"/>
      <c r="J35" s="76"/>
      <c r="K35" s="76"/>
      <c r="L35" s="76"/>
      <c r="M35" s="76"/>
      <c r="N35" s="76"/>
      <c r="O35" s="76"/>
      <c r="P35" s="76"/>
    </row>
    <row r="37" spans="1:16" x14ac:dyDescent="0.45">
      <c r="B37" s="2" t="s">
        <v>235</v>
      </c>
    </row>
    <row r="38" spans="1:16" x14ac:dyDescent="0.45">
      <c r="B38" t="s">
        <v>179</v>
      </c>
      <c r="D38" t="s">
        <v>237</v>
      </c>
      <c r="F38" s="100">
        <f>SUMPRODUCT(F6:F7,F29:F30)*'Water Balance'!G$5/1000</f>
        <v>42968.4</v>
      </c>
      <c r="G38" s="100">
        <f>SUMPRODUCT(G6:G7,G29:G30)*'Water Balance'!H$5/1000</f>
        <v>0</v>
      </c>
      <c r="H38" s="100">
        <f>SUMPRODUCT(H6:H7,H29:H30)*'Water Balance'!I$5/1000</f>
        <v>0</v>
      </c>
      <c r="I38" s="100">
        <f>SUMPRODUCT(I6:I7,I29:I30)*'Water Balance'!J$5/1000</f>
        <v>0</v>
      </c>
      <c r="J38" s="100">
        <f>SUMPRODUCT(J6:J7,J29:J30)*'Water Balance'!K$5/1000</f>
        <v>0</v>
      </c>
      <c r="K38" s="100">
        <f>SUMPRODUCT(K6:K7,K29:K30)*'Water Balance'!L$5/1000</f>
        <v>0</v>
      </c>
      <c r="L38" s="100">
        <f>SUMPRODUCT(L6:L7,L29:L30)*'Water Balance'!M$5/1000</f>
        <v>0</v>
      </c>
      <c r="M38" s="100">
        <f>SUMPRODUCT(M6:M7,M29:M30)*'Water Balance'!N$5/1000</f>
        <v>0</v>
      </c>
      <c r="N38" s="100">
        <f>SUMPRODUCT(N6:N7,N29:N30)*'Water Balance'!O$5/1000</f>
        <v>0</v>
      </c>
      <c r="O38" s="100">
        <f>SUMPRODUCT(O6:O7,O29:O30)*'Water Balance'!P$5/1000</f>
        <v>0</v>
      </c>
      <c r="P38" s="100">
        <f>SUMPRODUCT(P6:P7,P29:P30)*'Water Balance'!Q$5/1000</f>
        <v>10614</v>
      </c>
    </row>
    <row r="39" spans="1:16" x14ac:dyDescent="0.45">
      <c r="B39" t="s">
        <v>230</v>
      </c>
      <c r="D39" t="s">
        <v>237</v>
      </c>
      <c r="F39" s="100">
        <f>SUMPRODUCT(F8:F10,F31:F33)*'Water Balance'!G$5/1000</f>
        <v>171288</v>
      </c>
      <c r="G39" s="100">
        <f>SUMPRODUCT(G8:G10,G31:G33)*'Water Balance'!H$5/1000</f>
        <v>0</v>
      </c>
      <c r="H39" s="100">
        <f>SUMPRODUCT(H8:H10,H31:H33)*'Water Balance'!I$5/1000</f>
        <v>0</v>
      </c>
      <c r="I39" s="100">
        <f>SUMPRODUCT(I8:I10,I31:I33)*'Water Balance'!J$5/1000</f>
        <v>0</v>
      </c>
      <c r="J39" s="100">
        <f>SUMPRODUCT(J8:J10,J31:J33)*'Water Balance'!K$5/1000</f>
        <v>0</v>
      </c>
      <c r="K39" s="100">
        <f>SUMPRODUCT(K8:K10,K31:K33)*'Water Balance'!L$5/1000</f>
        <v>0</v>
      </c>
      <c r="L39" s="100">
        <f>SUMPRODUCT(L8:L10,L31:L33)*'Water Balance'!M$5/1000</f>
        <v>0</v>
      </c>
      <c r="M39" s="100">
        <f>SUMPRODUCT(M8:M10,M31:M33)*'Water Balance'!N$5/1000</f>
        <v>0</v>
      </c>
      <c r="N39" s="100">
        <f>SUMPRODUCT(N8:N10,N31:N33)*'Water Balance'!O$5/1000</f>
        <v>0</v>
      </c>
      <c r="O39" s="100">
        <f>SUMPRODUCT(O8:O10,O31:O33)*'Water Balance'!P$5/1000</f>
        <v>14640</v>
      </c>
      <c r="P39" s="100">
        <f>SUMPRODUCT(P8:P10,P31:P33)*'Water Balance'!Q$5/1000</f>
        <v>0</v>
      </c>
    </row>
    <row r="40" spans="1:16" x14ac:dyDescent="0.45">
      <c r="B40" t="s">
        <v>236</v>
      </c>
      <c r="D40" t="s">
        <v>237</v>
      </c>
      <c r="F40" s="100">
        <f>SUMPRODUCT(F11:F12,F34:F35)*'Water Balance'!G$5/1000</f>
        <v>0</v>
      </c>
      <c r="G40" s="100">
        <f>SUMPRODUCT(G11:G12,G34:G35)*'Water Balance'!H$5/1000</f>
        <v>0</v>
      </c>
      <c r="H40" s="100">
        <f>SUMPRODUCT(H11:H12,H34:H35)*'Water Balance'!I$5/1000</f>
        <v>0</v>
      </c>
      <c r="I40" s="100">
        <f>SUMPRODUCT(I11:I12,I34:I35)*'Water Balance'!J$5/1000</f>
        <v>0</v>
      </c>
      <c r="J40" s="100">
        <f>SUMPRODUCT(J11:J12,J34:J35)*'Water Balance'!K$5/1000</f>
        <v>0</v>
      </c>
      <c r="K40" s="100">
        <f>SUMPRODUCT(K11:K12,K34:K35)*'Water Balance'!L$5/1000</f>
        <v>0</v>
      </c>
      <c r="L40" s="100">
        <f>SUMPRODUCT(L11:L12,L34:L35)*'Water Balance'!M$5/1000</f>
        <v>0</v>
      </c>
      <c r="M40" s="100">
        <f>SUMPRODUCT(M11:M12,M34:M35)*'Water Balance'!N$5/1000</f>
        <v>0</v>
      </c>
      <c r="N40" s="100">
        <f>SUMPRODUCT(N11:N12,N34:N35)*'Water Balance'!O$5/1000</f>
        <v>0</v>
      </c>
      <c r="O40" s="100">
        <f>SUMPRODUCT(O11:O12,O34:O35)*'Water Balance'!P$5/1000</f>
        <v>0</v>
      </c>
      <c r="P40" s="100">
        <f>SUMPRODUCT(P11:P12,P34:P35)*'Water Balance'!Q$5/1000</f>
        <v>0</v>
      </c>
    </row>
    <row r="44" spans="1:16" ht="21" x14ac:dyDescent="0.65">
      <c r="B44" s="2" t="s">
        <v>194</v>
      </c>
      <c r="F44" s="61"/>
      <c r="G44" s="60"/>
      <c r="H44" s="60"/>
      <c r="I44" s="60"/>
      <c r="J44" s="60"/>
      <c r="K44" s="60"/>
      <c r="L44" s="60"/>
      <c r="M44" s="60"/>
      <c r="N44" s="60"/>
      <c r="O44" s="60"/>
      <c r="P44" s="60"/>
    </row>
    <row r="45" spans="1:16" x14ac:dyDescent="0.45">
      <c r="B45" s="55" t="s">
        <v>195</v>
      </c>
      <c r="C45" s="55" t="s">
        <v>209</v>
      </c>
      <c r="D45" s="94" t="s">
        <v>207</v>
      </c>
    </row>
    <row r="47" spans="1:16" x14ac:dyDescent="0.45">
      <c r="A47" t="s">
        <v>144</v>
      </c>
      <c r="B47" s="2" t="s">
        <v>196</v>
      </c>
      <c r="C47" s="95">
        <v>1168959</v>
      </c>
    </row>
    <row r="48" spans="1:16" x14ac:dyDescent="0.45">
      <c r="B48" s="2" t="s">
        <v>197</v>
      </c>
      <c r="C48" s="95">
        <v>331233</v>
      </c>
    </row>
    <row r="49" spans="1:9" x14ac:dyDescent="0.45">
      <c r="A49" t="s">
        <v>198</v>
      </c>
      <c r="B49" s="2" t="s">
        <v>198</v>
      </c>
      <c r="C49" s="95">
        <v>79360</v>
      </c>
    </row>
    <row r="50" spans="1:9" x14ac:dyDescent="0.45">
      <c r="B50" s="2" t="s">
        <v>59</v>
      </c>
      <c r="C50" s="95">
        <v>153844</v>
      </c>
    </row>
    <row r="51" spans="1:9" x14ac:dyDescent="0.45">
      <c r="B51" s="2" t="s">
        <v>66</v>
      </c>
      <c r="C51" s="95">
        <v>751361</v>
      </c>
    </row>
    <row r="52" spans="1:9" x14ac:dyDescent="0.45">
      <c r="A52" t="s">
        <v>67</v>
      </c>
      <c r="B52" s="2" t="s">
        <v>199</v>
      </c>
      <c r="C52" s="95">
        <v>783779.8</v>
      </c>
    </row>
    <row r="53" spans="1:9" x14ac:dyDescent="0.45">
      <c r="A53" t="s">
        <v>67</v>
      </c>
      <c r="B53" s="2" t="s">
        <v>200</v>
      </c>
      <c r="C53" s="95">
        <v>416977.6</v>
      </c>
    </row>
    <row r="54" spans="1:9" x14ac:dyDescent="0.45">
      <c r="B54" s="2" t="s">
        <v>68</v>
      </c>
      <c r="C54" s="95">
        <v>127650</v>
      </c>
    </row>
    <row r="55" spans="1:9" x14ac:dyDescent="0.45">
      <c r="A55" t="s">
        <v>70</v>
      </c>
      <c r="B55" s="2" t="s">
        <v>201</v>
      </c>
      <c r="C55" s="95">
        <v>2150691</v>
      </c>
    </row>
    <row r="56" spans="1:9" x14ac:dyDescent="0.45">
      <c r="A56" t="s">
        <v>70</v>
      </c>
      <c r="B56" s="2" t="s">
        <v>202</v>
      </c>
      <c r="C56" s="95">
        <v>3163813</v>
      </c>
    </row>
    <row r="57" spans="1:9" x14ac:dyDescent="0.45">
      <c r="A57" t="s">
        <v>70</v>
      </c>
      <c r="B57" s="2" t="s">
        <v>203</v>
      </c>
      <c r="C57" s="95">
        <v>2264</v>
      </c>
    </row>
    <row r="58" spans="1:9" x14ac:dyDescent="0.45">
      <c r="A58" t="s">
        <v>204</v>
      </c>
      <c r="B58" s="2" t="s">
        <v>204</v>
      </c>
      <c r="C58" s="95">
        <v>26013</v>
      </c>
    </row>
    <row r="59" spans="1:9" x14ac:dyDescent="0.45">
      <c r="A59" t="s">
        <v>71</v>
      </c>
      <c r="B59" s="2" t="s">
        <v>205</v>
      </c>
      <c r="C59" s="95">
        <v>3654417</v>
      </c>
      <c r="I59" s="92"/>
    </row>
    <row r="60" spans="1:9" x14ac:dyDescent="0.45">
      <c r="A60" t="s">
        <v>71</v>
      </c>
      <c r="B60" s="2" t="s">
        <v>206</v>
      </c>
      <c r="C60" s="95">
        <v>636265</v>
      </c>
      <c r="I60" s="93"/>
    </row>
    <row r="61" spans="1:9" x14ac:dyDescent="0.45">
      <c r="A61" t="s">
        <v>144</v>
      </c>
      <c r="B61" s="2" t="s">
        <v>61</v>
      </c>
      <c r="C61" s="200">
        <f>+[8]Assumptions!$J$20*1000*1.22</f>
        <v>194856.54926634321</v>
      </c>
      <c r="D61" t="s">
        <v>372</v>
      </c>
    </row>
    <row r="62" spans="1:9" x14ac:dyDescent="0.45">
      <c r="A62" t="s">
        <v>67</v>
      </c>
      <c r="B62" s="2" t="s">
        <v>210</v>
      </c>
      <c r="C62" s="96"/>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17A7-369B-4DA0-966C-D8D8471D18AC}">
  <dimension ref="B5:T60"/>
  <sheetViews>
    <sheetView zoomScale="59" zoomScaleNormal="85" workbookViewId="0">
      <selection activeCell="F60" sqref="F60"/>
    </sheetView>
  </sheetViews>
  <sheetFormatPr defaultRowHeight="14.25" x14ac:dyDescent="0.45"/>
  <cols>
    <col min="4" max="4" width="25.06640625" customWidth="1"/>
    <col min="15" max="15" width="9.86328125" bestFit="1" customWidth="1"/>
    <col min="16" max="16" width="13.59765625" customWidth="1"/>
    <col min="17" max="17" width="16.6640625" customWidth="1"/>
    <col min="19" max="19" width="10.796875" customWidth="1"/>
  </cols>
  <sheetData>
    <row r="5" spans="2:20" x14ac:dyDescent="0.45">
      <c r="B5" t="s">
        <v>330</v>
      </c>
    </row>
    <row r="6" spans="2:20" x14ac:dyDescent="0.45">
      <c r="B6" t="s">
        <v>331</v>
      </c>
      <c r="E6" s="162"/>
      <c r="F6" s="162"/>
      <c r="G6" s="161" t="s">
        <v>277</v>
      </c>
      <c r="H6" s="162"/>
      <c r="I6" s="162"/>
      <c r="J6" s="162"/>
      <c r="K6" s="162"/>
      <c r="L6" s="162"/>
      <c r="M6" s="162"/>
    </row>
    <row r="7" spans="2:20" x14ac:dyDescent="0.45">
      <c r="B7" s="161" t="s">
        <v>275</v>
      </c>
      <c r="C7" s="161" t="s">
        <v>176</v>
      </c>
      <c r="D7" s="161" t="s">
        <v>276</v>
      </c>
      <c r="E7" s="165">
        <v>2024</v>
      </c>
      <c r="F7" s="165">
        <v>2023</v>
      </c>
      <c r="G7" s="165">
        <v>2022</v>
      </c>
      <c r="H7" s="165">
        <v>2021</v>
      </c>
      <c r="I7" s="165">
        <v>2020</v>
      </c>
      <c r="J7" s="165">
        <v>2019</v>
      </c>
      <c r="K7" s="165">
        <v>2018</v>
      </c>
      <c r="L7" s="165">
        <v>2017</v>
      </c>
      <c r="M7" s="165">
        <v>2016</v>
      </c>
      <c r="O7" s="163" t="s">
        <v>278</v>
      </c>
      <c r="P7" s="163" t="s">
        <v>279</v>
      </c>
      <c r="Q7" s="163" t="s">
        <v>280</v>
      </c>
      <c r="S7" s="163" t="s">
        <v>365</v>
      </c>
      <c r="T7" s="163" t="s">
        <v>366</v>
      </c>
    </row>
    <row r="8" spans="2:20" ht="14.65" customHeight="1" x14ac:dyDescent="0.45">
      <c r="B8" s="164"/>
      <c r="C8" s="164"/>
      <c r="D8" s="164"/>
      <c r="O8" s="163"/>
      <c r="P8" s="163"/>
      <c r="Q8" s="163"/>
      <c r="S8" s="163"/>
    </row>
    <row r="9" spans="2:20" ht="14.65" customHeight="1" x14ac:dyDescent="0.45">
      <c r="B9" s="164" t="s">
        <v>281</v>
      </c>
      <c r="C9" s="164" t="s">
        <v>144</v>
      </c>
      <c r="D9" s="164" t="s">
        <v>282</v>
      </c>
      <c r="E9" s="165">
        <v>13.07</v>
      </c>
      <c r="F9" s="166">
        <v>17.39</v>
      </c>
      <c r="G9" s="165">
        <v>12.26</v>
      </c>
      <c r="H9" s="165">
        <v>11</v>
      </c>
      <c r="I9" s="165">
        <v>4.5</v>
      </c>
      <c r="J9" s="165">
        <v>15.9</v>
      </c>
      <c r="K9" s="165">
        <v>15.5</v>
      </c>
      <c r="L9" s="165">
        <v>14.3</v>
      </c>
      <c r="M9" s="165">
        <v>1.3</v>
      </c>
    </row>
    <row r="10" spans="2:20" x14ac:dyDescent="0.45">
      <c r="B10" s="164"/>
      <c r="C10" s="164"/>
      <c r="D10" s="164" t="s">
        <v>283</v>
      </c>
      <c r="E10" s="165">
        <v>3</v>
      </c>
      <c r="F10" s="165">
        <v>0</v>
      </c>
      <c r="G10" s="165">
        <v>0</v>
      </c>
      <c r="H10" s="165">
        <v>0</v>
      </c>
      <c r="I10" s="165">
        <v>0</v>
      </c>
      <c r="J10" s="165">
        <v>0</v>
      </c>
      <c r="K10" s="165">
        <v>0</v>
      </c>
      <c r="L10" s="165">
        <v>0</v>
      </c>
      <c r="M10" s="165">
        <v>0</v>
      </c>
    </row>
    <row r="11" spans="2:20" x14ac:dyDescent="0.45">
      <c r="B11" s="164"/>
      <c r="C11" s="164"/>
      <c r="D11" s="164" t="s">
        <v>61</v>
      </c>
      <c r="E11" s="165" t="s">
        <v>373</v>
      </c>
      <c r="F11" s="167">
        <v>3.4</v>
      </c>
      <c r="G11" s="165">
        <v>3.2</v>
      </c>
      <c r="H11" s="165">
        <v>3.1</v>
      </c>
      <c r="I11" s="165">
        <v>3.9</v>
      </c>
      <c r="J11" s="165">
        <v>0.09</v>
      </c>
      <c r="K11" s="165">
        <v>2.0499999999999998</v>
      </c>
      <c r="L11" s="165">
        <v>4.0999999999999996</v>
      </c>
      <c r="M11" s="165">
        <v>0</v>
      </c>
    </row>
    <row r="12" spans="2:20" x14ac:dyDescent="0.45">
      <c r="B12" s="168"/>
      <c r="C12" s="168"/>
      <c r="D12" s="168" t="s">
        <v>284</v>
      </c>
      <c r="E12" s="201" t="s">
        <v>374</v>
      </c>
      <c r="F12" s="167">
        <v>0.8</v>
      </c>
      <c r="G12" s="167">
        <v>0</v>
      </c>
      <c r="H12" s="167">
        <v>0</v>
      </c>
      <c r="I12" s="167">
        <v>0</v>
      </c>
      <c r="J12" s="168"/>
      <c r="K12" s="168"/>
      <c r="L12" s="168"/>
      <c r="M12" s="168"/>
    </row>
    <row r="13" spans="2:20" x14ac:dyDescent="0.45">
      <c r="B13" s="164"/>
      <c r="C13" s="164"/>
      <c r="D13" s="164" t="s">
        <v>285</v>
      </c>
      <c r="E13" s="165">
        <v>3</v>
      </c>
      <c r="F13" s="165">
        <v>3</v>
      </c>
      <c r="G13" s="165">
        <v>2.8</v>
      </c>
      <c r="H13" s="165">
        <v>1.5</v>
      </c>
      <c r="I13" s="164"/>
      <c r="J13" s="164"/>
      <c r="K13" s="164"/>
      <c r="L13" s="164"/>
      <c r="M13" s="164"/>
    </row>
    <row r="14" spans="2:20" x14ac:dyDescent="0.45">
      <c r="B14" s="169"/>
      <c r="C14" s="169" t="s">
        <v>286</v>
      </c>
      <c r="D14" s="169"/>
      <c r="E14" s="170">
        <f t="shared" ref="E14:H14" si="0">SUM(E9:E13)</f>
        <v>19.07</v>
      </c>
      <c r="F14" s="170">
        <f t="shared" si="0"/>
        <v>24.59</v>
      </c>
      <c r="G14" s="170">
        <f t="shared" si="0"/>
        <v>18.260000000000002</v>
      </c>
      <c r="H14" s="170">
        <f t="shared" si="0"/>
        <v>15.6</v>
      </c>
      <c r="I14" s="170">
        <f>SUM(I9:I12)</f>
        <v>8.4</v>
      </c>
      <c r="J14" s="170">
        <v>15.99</v>
      </c>
      <c r="K14" s="170">
        <v>17.55</v>
      </c>
      <c r="L14" s="170">
        <v>18.399999999999999</v>
      </c>
      <c r="M14" s="170">
        <v>1.3</v>
      </c>
      <c r="O14" s="155">
        <f>E14/1000*(60*60*24)</f>
        <v>1647.6479999999999</v>
      </c>
      <c r="P14" s="155">
        <f>+O14*365</f>
        <v>601391.52</v>
      </c>
      <c r="Q14" s="48">
        <f>+'Water Balance'!$G$6</f>
        <v>1168959</v>
      </c>
      <c r="R14" t="s">
        <v>144</v>
      </c>
      <c r="S14" s="171">
        <f>+P14/Q14</f>
        <v>0.51446759039453049</v>
      </c>
      <c r="T14" s="92">
        <f>+'Water Balance'!G143</f>
        <v>0.26378327894202719</v>
      </c>
    </row>
    <row r="15" spans="2:20" x14ac:dyDescent="0.45">
      <c r="B15" s="164"/>
      <c r="C15" s="164" t="s">
        <v>65</v>
      </c>
      <c r="D15" s="164" t="s">
        <v>287</v>
      </c>
      <c r="E15" s="165">
        <v>3.1</v>
      </c>
      <c r="F15" s="165">
        <v>3.1</v>
      </c>
      <c r="G15" s="165">
        <v>3.2</v>
      </c>
      <c r="H15" s="165">
        <v>0.9</v>
      </c>
      <c r="I15" s="165">
        <v>0.7</v>
      </c>
      <c r="J15" s="165">
        <v>3</v>
      </c>
      <c r="K15" s="165">
        <v>1.5</v>
      </c>
      <c r="L15" s="165">
        <v>0.8</v>
      </c>
      <c r="M15" s="165">
        <v>0.3</v>
      </c>
      <c r="O15" s="155"/>
    </row>
    <row r="16" spans="2:20" x14ac:dyDescent="0.45">
      <c r="B16" s="164"/>
      <c r="C16" s="164"/>
      <c r="D16" s="164" t="s">
        <v>288</v>
      </c>
      <c r="E16" s="165">
        <v>1.99</v>
      </c>
      <c r="F16" s="165">
        <v>0.16</v>
      </c>
      <c r="G16" s="165">
        <v>0.21</v>
      </c>
      <c r="H16" s="165">
        <v>0.63</v>
      </c>
      <c r="I16" s="165">
        <v>0.24</v>
      </c>
      <c r="J16" s="165">
        <v>7.0000000000000007E-2</v>
      </c>
      <c r="K16" s="165">
        <v>0.2</v>
      </c>
      <c r="L16" s="165">
        <v>0.1</v>
      </c>
      <c r="M16" s="165">
        <v>0.2</v>
      </c>
      <c r="O16" s="155"/>
    </row>
    <row r="17" spans="2:20" x14ac:dyDescent="0.45">
      <c r="B17" s="169"/>
      <c r="C17" s="169" t="s">
        <v>289</v>
      </c>
      <c r="D17" s="169"/>
      <c r="E17" s="170">
        <f>SUM(E15:E16)</f>
        <v>5.09</v>
      </c>
      <c r="F17" s="170">
        <v>3.26</v>
      </c>
      <c r="G17" s="170">
        <f t="shared" ref="G17:I17" si="1">SUM(G15:G16)</f>
        <v>3.41</v>
      </c>
      <c r="H17" s="170">
        <f t="shared" si="1"/>
        <v>1.53</v>
      </c>
      <c r="I17" s="170">
        <f t="shared" si="1"/>
        <v>0.94</v>
      </c>
      <c r="J17" s="170">
        <v>3.07</v>
      </c>
      <c r="K17" s="170">
        <v>1.7</v>
      </c>
      <c r="L17" s="170">
        <v>0.9</v>
      </c>
      <c r="M17" s="170">
        <v>0.5</v>
      </c>
      <c r="O17" s="155">
        <f>E17/1000*(60*60*24)</f>
        <v>439.77600000000001</v>
      </c>
      <c r="P17" s="155">
        <f>+O17*365</f>
        <v>160518.24</v>
      </c>
      <c r="Q17" s="48">
        <f>+'Water Balance'!$H$6</f>
        <v>331233</v>
      </c>
      <c r="R17" t="s">
        <v>65</v>
      </c>
      <c r="S17" s="171">
        <f>+P17/Q17</f>
        <v>0.48460823649817497</v>
      </c>
      <c r="T17" s="92">
        <f>'Water Balance'!H143</f>
        <v>0.54466292609733935</v>
      </c>
    </row>
    <row r="18" spans="2:20" ht="14.25" customHeight="1" x14ac:dyDescent="0.45">
      <c r="B18" s="164"/>
      <c r="C18" s="164" t="s">
        <v>59</v>
      </c>
      <c r="D18" s="164" t="s">
        <v>59</v>
      </c>
      <c r="E18" s="167">
        <v>1.8</v>
      </c>
      <c r="F18" s="167">
        <v>1.9</v>
      </c>
      <c r="G18" s="165">
        <v>0.8</v>
      </c>
      <c r="H18" s="165">
        <v>5</v>
      </c>
      <c r="I18" s="165">
        <v>3.1</v>
      </c>
      <c r="J18" s="165">
        <v>0.8</v>
      </c>
      <c r="K18" s="165">
        <v>1.1000000000000001</v>
      </c>
      <c r="L18" s="165">
        <v>2</v>
      </c>
      <c r="M18" s="164"/>
      <c r="O18" s="155"/>
    </row>
    <row r="19" spans="2:20" ht="14.25" customHeight="1" x14ac:dyDescent="0.45">
      <c r="B19" s="169"/>
      <c r="C19" s="169" t="s">
        <v>290</v>
      </c>
      <c r="D19" s="169"/>
      <c r="E19" s="170">
        <f>SUM(E18)</f>
        <v>1.8</v>
      </c>
      <c r="F19" s="170">
        <v>1.9</v>
      </c>
      <c r="G19" s="170">
        <f t="shared" ref="G19:H19" si="2">SUM(G18)</f>
        <v>0.8</v>
      </c>
      <c r="H19" s="170">
        <f t="shared" si="2"/>
        <v>5</v>
      </c>
      <c r="I19" s="170">
        <f>I18</f>
        <v>3.1</v>
      </c>
      <c r="J19" s="170">
        <v>0.8</v>
      </c>
      <c r="K19" s="170">
        <v>1.1000000000000001</v>
      </c>
      <c r="L19" s="170">
        <v>2</v>
      </c>
      <c r="M19" s="170">
        <v>1</v>
      </c>
      <c r="O19" s="155">
        <f>+E19*24*3600/1000</f>
        <v>155.52000000000001</v>
      </c>
      <c r="P19" s="155">
        <f>+O19*365</f>
        <v>56764.800000000003</v>
      </c>
      <c r="Q19" s="48">
        <f>+'Water Balance'!$I$6</f>
        <v>153844</v>
      </c>
      <c r="R19" t="s">
        <v>59</v>
      </c>
      <c r="S19" s="172">
        <f>+P19/Q19</f>
        <v>0.3689763656691194</v>
      </c>
      <c r="T19" s="92">
        <f>'Water Balance'!I143</f>
        <v>0.5795385585398195</v>
      </c>
    </row>
    <row r="20" spans="2:20" x14ac:dyDescent="0.45">
      <c r="B20" s="164"/>
      <c r="C20" s="164" t="s">
        <v>70</v>
      </c>
      <c r="D20" s="164" t="s">
        <v>291</v>
      </c>
      <c r="E20" s="202">
        <v>0.9</v>
      </c>
      <c r="F20" s="165">
        <v>2.4</v>
      </c>
      <c r="G20" s="165">
        <v>4</v>
      </c>
      <c r="H20" s="165">
        <v>3.3</v>
      </c>
      <c r="I20" s="165">
        <v>6.4</v>
      </c>
      <c r="J20" s="165">
        <v>3.8</v>
      </c>
      <c r="K20" s="165">
        <v>1.1000000000000001</v>
      </c>
      <c r="L20" s="165">
        <v>2.8</v>
      </c>
      <c r="M20" s="165">
        <v>4</v>
      </c>
      <c r="O20" s="155"/>
    </row>
    <row r="21" spans="2:20" x14ac:dyDescent="0.45">
      <c r="B21" s="164"/>
      <c r="C21" s="164"/>
      <c r="D21" s="164" t="s">
        <v>292</v>
      </c>
      <c r="E21" s="167">
        <v>2.11</v>
      </c>
      <c r="F21" s="167">
        <v>0.67</v>
      </c>
      <c r="G21" s="165">
        <v>0.56999999999999995</v>
      </c>
      <c r="H21" s="165">
        <v>1.1000000000000001</v>
      </c>
      <c r="I21" s="165">
        <v>0.09</v>
      </c>
      <c r="J21" s="165">
        <v>0.6</v>
      </c>
      <c r="K21" s="165">
        <v>0.89</v>
      </c>
      <c r="L21" s="165">
        <v>0.6</v>
      </c>
      <c r="M21" s="165">
        <v>1.2</v>
      </c>
      <c r="O21" s="155"/>
    </row>
    <row r="22" spans="2:20" x14ac:dyDescent="0.45">
      <c r="B22" s="164"/>
      <c r="C22" s="164"/>
      <c r="D22" s="164" t="s">
        <v>293</v>
      </c>
      <c r="E22" s="165">
        <v>1.0900000000000001</v>
      </c>
      <c r="F22" s="165">
        <v>1.51</v>
      </c>
      <c r="G22" s="165">
        <v>0.41</v>
      </c>
      <c r="H22" s="165">
        <v>0.49</v>
      </c>
      <c r="I22" s="165">
        <v>0.21</v>
      </c>
      <c r="J22" s="165">
        <v>0.4</v>
      </c>
      <c r="K22" s="165">
        <v>1.2</v>
      </c>
      <c r="L22" s="165">
        <v>0.8</v>
      </c>
      <c r="M22" s="165">
        <v>0.7</v>
      </c>
      <c r="O22" s="155"/>
    </row>
    <row r="23" spans="2:20" x14ac:dyDescent="0.45">
      <c r="B23" s="164"/>
      <c r="C23" s="164"/>
      <c r="D23" s="164" t="s">
        <v>294</v>
      </c>
      <c r="E23" s="167">
        <v>3.9</v>
      </c>
      <c r="F23" s="167">
        <v>4.7</v>
      </c>
      <c r="G23" s="167">
        <v>20</v>
      </c>
      <c r="H23" s="165">
        <v>19.899999999999999</v>
      </c>
      <c r="I23" s="165">
        <v>21.2</v>
      </c>
      <c r="J23" s="165">
        <v>1</v>
      </c>
      <c r="K23" s="165">
        <v>0.5</v>
      </c>
      <c r="L23" s="165">
        <v>6.1</v>
      </c>
      <c r="M23" s="165">
        <v>5.2</v>
      </c>
      <c r="O23" s="155"/>
    </row>
    <row r="24" spans="2:20" x14ac:dyDescent="0.45">
      <c r="B24" s="164"/>
      <c r="C24" s="164"/>
      <c r="D24" s="164" t="s">
        <v>295</v>
      </c>
      <c r="E24" s="165">
        <v>1.2</v>
      </c>
      <c r="F24" s="167">
        <v>6.5</v>
      </c>
      <c r="G24" s="165">
        <v>6.7</v>
      </c>
      <c r="H24" s="165">
        <v>5</v>
      </c>
      <c r="I24" s="165">
        <v>10.5</v>
      </c>
      <c r="J24" s="165">
        <v>10.1</v>
      </c>
      <c r="K24" s="165">
        <v>10.1</v>
      </c>
      <c r="L24" s="165">
        <v>4.8</v>
      </c>
      <c r="M24" s="165">
        <v>12.3</v>
      </c>
      <c r="O24" s="155"/>
    </row>
    <row r="25" spans="2:20" x14ac:dyDescent="0.45">
      <c r="B25" s="164"/>
      <c r="C25" s="164"/>
      <c r="D25" s="164" t="s">
        <v>296</v>
      </c>
      <c r="E25" s="167">
        <v>0.9</v>
      </c>
      <c r="F25" s="167">
        <v>0</v>
      </c>
      <c r="G25" s="167">
        <v>1</v>
      </c>
      <c r="H25" s="165">
        <v>1.1000000000000001</v>
      </c>
      <c r="I25" s="165">
        <v>0</v>
      </c>
      <c r="J25" s="165">
        <v>0</v>
      </c>
      <c r="K25" s="165">
        <v>0.8</v>
      </c>
      <c r="L25" s="165">
        <v>1.4</v>
      </c>
      <c r="M25" s="165">
        <v>3.8</v>
      </c>
      <c r="O25" s="155"/>
    </row>
    <row r="26" spans="2:20" x14ac:dyDescent="0.45">
      <c r="B26" s="164"/>
      <c r="C26" s="164"/>
      <c r="D26" s="164" t="s">
        <v>297</v>
      </c>
      <c r="E26" s="167">
        <v>0.1</v>
      </c>
      <c r="F26" s="167">
        <v>1.6</v>
      </c>
      <c r="G26" s="165">
        <v>1.2</v>
      </c>
      <c r="H26" s="165">
        <v>2</v>
      </c>
      <c r="I26" s="165">
        <v>1.3</v>
      </c>
      <c r="J26" s="165">
        <v>0.1</v>
      </c>
      <c r="K26" s="165">
        <v>0.8</v>
      </c>
      <c r="L26" s="165">
        <v>0.5</v>
      </c>
      <c r="M26" s="165">
        <v>0.5</v>
      </c>
      <c r="O26" s="155"/>
    </row>
    <row r="27" spans="2:20" x14ac:dyDescent="0.45">
      <c r="B27" s="164"/>
      <c r="C27" s="164"/>
      <c r="D27" s="164" t="s">
        <v>298</v>
      </c>
      <c r="E27" s="165">
        <v>1.8</v>
      </c>
      <c r="F27" s="167">
        <v>1.7</v>
      </c>
      <c r="G27" s="165">
        <v>1.6</v>
      </c>
      <c r="H27" s="165">
        <v>1.6</v>
      </c>
      <c r="I27" s="165">
        <v>1.6</v>
      </c>
      <c r="J27" s="165">
        <v>0</v>
      </c>
      <c r="K27" s="165">
        <v>0.5</v>
      </c>
      <c r="L27" s="165">
        <v>0.9</v>
      </c>
      <c r="M27" s="165">
        <v>2</v>
      </c>
      <c r="O27" s="155"/>
    </row>
    <row r="28" spans="2:20" x14ac:dyDescent="0.45">
      <c r="B28" s="164"/>
      <c r="C28" s="164"/>
      <c r="D28" s="164" t="s">
        <v>299</v>
      </c>
      <c r="E28" s="167">
        <v>0.2</v>
      </c>
      <c r="F28" s="167">
        <v>0.5</v>
      </c>
      <c r="G28" s="165">
        <v>0.2</v>
      </c>
      <c r="H28" s="165">
        <v>0.2</v>
      </c>
      <c r="I28" s="165">
        <v>0.7</v>
      </c>
      <c r="J28" s="165">
        <v>0</v>
      </c>
      <c r="K28" s="165">
        <v>0</v>
      </c>
      <c r="L28" s="165">
        <v>0.3</v>
      </c>
      <c r="M28" s="165">
        <v>1.3</v>
      </c>
      <c r="O28" s="155"/>
    </row>
    <row r="29" spans="2:20" x14ac:dyDescent="0.45">
      <c r="B29" s="164"/>
      <c r="C29" s="164"/>
      <c r="D29" s="164" t="s">
        <v>300</v>
      </c>
      <c r="E29" s="165">
        <v>10.4</v>
      </c>
      <c r="F29" s="167">
        <v>13</v>
      </c>
      <c r="G29" s="167">
        <v>8</v>
      </c>
      <c r="H29" s="165">
        <v>7.3</v>
      </c>
      <c r="I29" s="165">
        <v>15.1</v>
      </c>
      <c r="J29" s="165">
        <v>9.6999999999999993</v>
      </c>
      <c r="K29" s="165">
        <v>13.7</v>
      </c>
      <c r="L29" s="165">
        <v>22.3</v>
      </c>
      <c r="M29" s="165">
        <v>74.400000000000006</v>
      </c>
      <c r="O29" s="155"/>
    </row>
    <row r="30" spans="2:20" x14ac:dyDescent="0.45">
      <c r="B30" s="169"/>
      <c r="C30" s="169" t="s">
        <v>301</v>
      </c>
      <c r="D30" s="169"/>
      <c r="E30" s="170">
        <f>SUM(E20:E29)</f>
        <v>22.6</v>
      </c>
      <c r="F30" s="170">
        <v>32.58</v>
      </c>
      <c r="G30" s="170">
        <f>SUM(G20:G29)</f>
        <v>43.680000000000007</v>
      </c>
      <c r="H30" s="170">
        <f>SUM(H20:H29)</f>
        <v>41.99</v>
      </c>
      <c r="I30" s="170">
        <f>SUM(I20:I29)</f>
        <v>57.1</v>
      </c>
      <c r="J30" s="170">
        <v>37.1</v>
      </c>
      <c r="K30" s="170">
        <v>38.39</v>
      </c>
      <c r="L30" s="170">
        <v>68.3</v>
      </c>
      <c r="M30" s="170">
        <v>140.1</v>
      </c>
      <c r="O30" s="155">
        <f>+E30*24*3600/1000</f>
        <v>1952.6400000000003</v>
      </c>
      <c r="P30" s="155">
        <f>+O30*365</f>
        <v>712713.60000000009</v>
      </c>
      <c r="Q30" s="48"/>
    </row>
    <row r="31" spans="2:20" x14ac:dyDescent="0.45">
      <c r="B31" s="164"/>
      <c r="C31" s="164" t="s">
        <v>302</v>
      </c>
      <c r="D31" s="164" t="s">
        <v>302</v>
      </c>
      <c r="E31" s="167">
        <v>11.96</v>
      </c>
      <c r="F31" s="167">
        <v>5.9</v>
      </c>
      <c r="G31" s="165">
        <v>6.7</v>
      </c>
      <c r="H31" s="165">
        <v>11.2</v>
      </c>
      <c r="I31" s="165">
        <v>8.1999999999999993</v>
      </c>
      <c r="J31" s="164"/>
      <c r="K31" s="164"/>
      <c r="L31" s="165">
        <v>9</v>
      </c>
      <c r="M31" s="165">
        <v>7.9</v>
      </c>
      <c r="O31" s="155"/>
    </row>
    <row r="32" spans="2:20" ht="14.25" customHeight="1" x14ac:dyDescent="0.45">
      <c r="B32" s="164"/>
      <c r="C32" s="164"/>
      <c r="D32" s="164" t="s">
        <v>303</v>
      </c>
      <c r="E32" s="165">
        <v>1.3</v>
      </c>
      <c r="F32" s="165">
        <v>0.8</v>
      </c>
      <c r="G32" s="165">
        <v>2.2999999999999998</v>
      </c>
      <c r="H32" s="165">
        <v>2.5</v>
      </c>
      <c r="I32" s="165">
        <v>1.9</v>
      </c>
      <c r="J32" s="165">
        <v>0</v>
      </c>
      <c r="K32" s="165">
        <v>0</v>
      </c>
      <c r="L32" s="165">
        <v>0.9</v>
      </c>
      <c r="M32" s="165">
        <v>0</v>
      </c>
      <c r="O32" s="155"/>
    </row>
    <row r="33" spans="2:20" ht="14.25" customHeight="1" x14ac:dyDescent="0.45">
      <c r="B33" s="164"/>
      <c r="C33" s="164"/>
      <c r="D33" s="164" t="s">
        <v>304</v>
      </c>
      <c r="E33" s="165">
        <v>1.7</v>
      </c>
      <c r="F33" s="165">
        <v>2.4</v>
      </c>
      <c r="G33" s="165">
        <v>0.2</v>
      </c>
      <c r="H33" s="165">
        <v>0.2</v>
      </c>
      <c r="I33" s="165">
        <v>0</v>
      </c>
      <c r="J33" s="165">
        <v>2</v>
      </c>
      <c r="K33" s="165">
        <v>3.7</v>
      </c>
      <c r="L33" s="165">
        <v>2.7</v>
      </c>
      <c r="M33" s="165">
        <v>5.2</v>
      </c>
      <c r="O33" s="155"/>
    </row>
    <row r="34" spans="2:20" x14ac:dyDescent="0.45">
      <c r="B34" s="164"/>
      <c r="C34" s="164"/>
      <c r="D34" s="164" t="s">
        <v>305</v>
      </c>
      <c r="E34" s="165">
        <v>2.04</v>
      </c>
      <c r="F34" s="165">
        <v>0</v>
      </c>
      <c r="G34" s="165">
        <v>0.2</v>
      </c>
      <c r="H34" s="165">
        <v>0</v>
      </c>
      <c r="I34" s="165">
        <v>0.06</v>
      </c>
      <c r="J34" s="164"/>
      <c r="K34" s="164"/>
      <c r="L34" s="164"/>
      <c r="M34" s="164"/>
      <c r="O34" s="155"/>
    </row>
    <row r="35" spans="2:20" x14ac:dyDescent="0.45">
      <c r="B35" s="164"/>
      <c r="C35" s="164"/>
      <c r="D35" s="164" t="s">
        <v>306</v>
      </c>
      <c r="E35" s="165">
        <v>21.2</v>
      </c>
      <c r="F35" s="165">
        <v>1.1000000000000001</v>
      </c>
      <c r="G35" s="165">
        <v>0.3</v>
      </c>
      <c r="H35" s="165">
        <v>0.3</v>
      </c>
      <c r="I35" s="165">
        <v>0</v>
      </c>
      <c r="J35" s="165">
        <v>0</v>
      </c>
      <c r="K35" s="165">
        <v>0.6</v>
      </c>
      <c r="L35" s="165">
        <v>5.4</v>
      </c>
      <c r="M35" s="165">
        <v>1.2</v>
      </c>
      <c r="O35" s="155"/>
    </row>
    <row r="36" spans="2:20" x14ac:dyDescent="0.45">
      <c r="B36" s="168"/>
      <c r="C36" s="168"/>
      <c r="D36" s="168" t="s">
        <v>307</v>
      </c>
      <c r="E36" s="167"/>
      <c r="F36" s="167">
        <v>0</v>
      </c>
      <c r="G36" s="167">
        <v>0</v>
      </c>
      <c r="H36" s="167">
        <v>0</v>
      </c>
      <c r="I36" s="167">
        <v>0</v>
      </c>
      <c r="J36" s="168"/>
      <c r="K36" s="168"/>
      <c r="L36" s="168"/>
      <c r="M36" s="168"/>
      <c r="O36" s="155"/>
    </row>
    <row r="37" spans="2:20" x14ac:dyDescent="0.45">
      <c r="B37" s="168"/>
      <c r="C37" s="168"/>
      <c r="D37" s="168" t="s">
        <v>308</v>
      </c>
      <c r="E37" s="165">
        <v>0.3</v>
      </c>
      <c r="F37" s="167">
        <v>0</v>
      </c>
      <c r="G37" s="167">
        <v>0.1</v>
      </c>
      <c r="H37" s="167">
        <v>3.9</v>
      </c>
      <c r="I37" s="167">
        <v>3.4</v>
      </c>
      <c r="J37" s="168"/>
      <c r="K37" s="168"/>
      <c r="L37" s="168"/>
      <c r="M37" s="168"/>
      <c r="O37" s="155"/>
    </row>
    <row r="38" spans="2:20" x14ac:dyDescent="0.45">
      <c r="B38" s="169"/>
      <c r="C38" s="169" t="s">
        <v>309</v>
      </c>
      <c r="D38" s="169"/>
      <c r="E38" s="170">
        <f>SUM(E31:E37)</f>
        <v>38.5</v>
      </c>
      <c r="F38" s="170">
        <v>10.199999999999999</v>
      </c>
      <c r="G38" s="170">
        <f t="shared" ref="G38:I38" si="3">SUM(G31:G37)</f>
        <v>9.7999999999999989</v>
      </c>
      <c r="H38" s="170">
        <f t="shared" si="3"/>
        <v>18.099999999999998</v>
      </c>
      <c r="I38" s="170">
        <f t="shared" si="3"/>
        <v>13.56</v>
      </c>
      <c r="J38" s="169"/>
      <c r="K38" s="169"/>
      <c r="L38" s="169"/>
      <c r="M38" s="169"/>
      <c r="O38" s="155">
        <f>+E38*24*3600/1000</f>
        <v>3326.4</v>
      </c>
      <c r="P38" s="155">
        <f>+O38*365</f>
        <v>1214136</v>
      </c>
    </row>
    <row r="39" spans="2:20" x14ac:dyDescent="0.45">
      <c r="B39" s="164"/>
      <c r="C39" s="164"/>
      <c r="D39" s="164" t="s">
        <v>310</v>
      </c>
      <c r="E39" s="167">
        <v>2.2999999999999998</v>
      </c>
      <c r="F39" s="167">
        <v>2.2000000000000002</v>
      </c>
      <c r="G39" s="165">
        <v>1.8</v>
      </c>
      <c r="H39" s="165">
        <v>1.9</v>
      </c>
      <c r="I39" s="165">
        <v>0</v>
      </c>
      <c r="J39" s="164"/>
      <c r="K39" s="165">
        <v>0.7</v>
      </c>
      <c r="L39" s="164"/>
      <c r="M39" s="164"/>
      <c r="O39" s="155"/>
    </row>
    <row r="40" spans="2:20" x14ac:dyDescent="0.45">
      <c r="B40" s="164"/>
      <c r="C40" s="164"/>
      <c r="D40" s="164" t="s">
        <v>311</v>
      </c>
      <c r="E40" s="165">
        <v>2</v>
      </c>
      <c r="F40" s="167">
        <v>1.2</v>
      </c>
      <c r="G40" s="167">
        <v>1.6</v>
      </c>
      <c r="H40" s="165">
        <v>1.6</v>
      </c>
      <c r="I40" s="165">
        <v>3.5</v>
      </c>
      <c r="J40" s="165">
        <v>2.6</v>
      </c>
      <c r="K40" s="165">
        <v>1.3</v>
      </c>
      <c r="L40" s="165">
        <v>1.3</v>
      </c>
      <c r="M40" s="165">
        <v>1.1000000000000001</v>
      </c>
      <c r="O40" s="155"/>
    </row>
    <row r="41" spans="2:20" x14ac:dyDescent="0.45">
      <c r="B41" s="164"/>
      <c r="C41" s="164"/>
      <c r="D41" s="164" t="s">
        <v>312</v>
      </c>
      <c r="E41" s="167">
        <v>6.4</v>
      </c>
      <c r="F41" s="167">
        <v>5.4</v>
      </c>
      <c r="G41" s="165">
        <v>5.5</v>
      </c>
      <c r="H41" s="165">
        <v>1.8</v>
      </c>
      <c r="I41" s="165">
        <v>0.4</v>
      </c>
      <c r="J41" s="165">
        <v>1.8</v>
      </c>
      <c r="K41" s="165">
        <v>1.8</v>
      </c>
      <c r="L41" s="165">
        <v>0.5</v>
      </c>
      <c r="M41" s="165">
        <v>5.2</v>
      </c>
      <c r="O41" s="155"/>
    </row>
    <row r="42" spans="2:20" x14ac:dyDescent="0.45">
      <c r="B42" s="164"/>
      <c r="C42" s="164"/>
      <c r="D42" s="164" t="s">
        <v>313</v>
      </c>
      <c r="E42" s="167">
        <v>2.6</v>
      </c>
      <c r="F42" s="166">
        <v>19.7</v>
      </c>
      <c r="G42" s="167">
        <v>1.6</v>
      </c>
      <c r="H42" s="165">
        <v>1.6</v>
      </c>
      <c r="I42" s="165">
        <v>4.0999999999999996</v>
      </c>
      <c r="J42" s="165">
        <v>1.5</v>
      </c>
      <c r="K42" s="165">
        <v>0.7</v>
      </c>
      <c r="L42" s="165">
        <v>8</v>
      </c>
      <c r="M42" s="164"/>
      <c r="O42" s="155"/>
    </row>
    <row r="43" spans="2:20" x14ac:dyDescent="0.45">
      <c r="B43" s="164"/>
      <c r="C43" s="164"/>
      <c r="D43" s="164" t="s">
        <v>314</v>
      </c>
      <c r="E43" s="167">
        <v>1.2</v>
      </c>
      <c r="F43" s="167">
        <v>1.8</v>
      </c>
      <c r="G43" s="165">
        <v>1.8</v>
      </c>
      <c r="H43" s="165">
        <v>2</v>
      </c>
      <c r="I43" s="165">
        <v>3.6</v>
      </c>
      <c r="J43" s="165">
        <v>3.5</v>
      </c>
      <c r="K43" s="164"/>
      <c r="L43" s="164"/>
      <c r="M43" s="164"/>
      <c r="O43" s="155"/>
    </row>
    <row r="44" spans="2:20" x14ac:dyDescent="0.45">
      <c r="B44" s="169"/>
      <c r="C44" s="169" t="s">
        <v>315</v>
      </c>
      <c r="D44" s="169"/>
      <c r="E44" s="170">
        <f>SUM(E39:E43)</f>
        <v>14.499999999999998</v>
      </c>
      <c r="F44" s="170">
        <v>30.3</v>
      </c>
      <c r="G44" s="170">
        <f t="shared" ref="G44:L44" si="4">SUM(G39:G43)</f>
        <v>12.3</v>
      </c>
      <c r="H44" s="170">
        <f t="shared" si="4"/>
        <v>8.9</v>
      </c>
      <c r="I44" s="170">
        <f t="shared" si="4"/>
        <v>11.6</v>
      </c>
      <c r="J44" s="170">
        <f t="shared" si="4"/>
        <v>9.4</v>
      </c>
      <c r="K44" s="170">
        <f t="shared" si="4"/>
        <v>4.5</v>
      </c>
      <c r="L44" s="170">
        <f t="shared" si="4"/>
        <v>9.8000000000000007</v>
      </c>
      <c r="M44" s="170">
        <v>12.7</v>
      </c>
      <c r="O44" s="155">
        <f>+E44*24*3600/1000</f>
        <v>1252.7999999999997</v>
      </c>
      <c r="P44" s="155">
        <f>+O44*365</f>
        <v>457271.99999999988</v>
      </c>
    </row>
    <row r="45" spans="2:20" x14ac:dyDescent="0.45">
      <c r="B45" s="173" t="s">
        <v>316</v>
      </c>
      <c r="C45" s="174"/>
      <c r="D45" s="174"/>
      <c r="E45" s="175">
        <f>E44+E30+E38+E19+E17+E14</f>
        <v>101.56</v>
      </c>
      <c r="F45" s="175">
        <v>105.13</v>
      </c>
      <c r="G45" s="175">
        <f>G44+G38+G30+G19+G17+G14</f>
        <v>88.25</v>
      </c>
      <c r="H45" s="175">
        <f>H44+H30+H38+H19+H17+H14</f>
        <v>91.11999999999999</v>
      </c>
      <c r="I45" s="175">
        <f>I44+I38+I30+I19+I17+I14</f>
        <v>94.7</v>
      </c>
      <c r="J45" s="175">
        <v>56.96</v>
      </c>
      <c r="K45" s="175">
        <v>58.74</v>
      </c>
      <c r="L45" s="175">
        <v>89.6</v>
      </c>
      <c r="M45" s="175">
        <v>142.9</v>
      </c>
      <c r="O45" s="155">
        <f>+E45*24*3600/1000</f>
        <v>8774.7839999999997</v>
      </c>
      <c r="P45" s="155">
        <f>+O45*365</f>
        <v>3202796.1599999997</v>
      </c>
      <c r="Q45" s="48">
        <f>+'Water Balance'!$O$6</f>
        <v>5316768</v>
      </c>
      <c r="R45" t="s">
        <v>70</v>
      </c>
      <c r="S45" s="171">
        <f>+P45/Q45</f>
        <v>0.60239531986349593</v>
      </c>
      <c r="T45" s="92">
        <f>'Water Balance'!O143</f>
        <v>0.22676533187079065</v>
      </c>
    </row>
    <row r="46" spans="2:20" x14ac:dyDescent="0.45">
      <c r="B46" s="164" t="s">
        <v>71</v>
      </c>
      <c r="C46" s="164" t="s">
        <v>66</v>
      </c>
      <c r="D46" s="164" t="s">
        <v>317</v>
      </c>
      <c r="E46" s="165">
        <v>7</v>
      </c>
      <c r="F46" s="165">
        <v>0.8</v>
      </c>
      <c r="G46" s="165">
        <v>0.2</v>
      </c>
      <c r="H46" s="165">
        <v>4.3</v>
      </c>
      <c r="I46" s="164"/>
      <c r="J46" s="165">
        <v>0.4</v>
      </c>
      <c r="K46" s="165">
        <v>0.79</v>
      </c>
      <c r="L46" s="165">
        <v>0.7</v>
      </c>
      <c r="M46" s="165">
        <v>0.6</v>
      </c>
      <c r="O46" s="155"/>
    </row>
    <row r="47" spans="2:20" x14ac:dyDescent="0.45">
      <c r="B47" s="164"/>
      <c r="C47" s="164"/>
      <c r="D47" s="164" t="s">
        <v>318</v>
      </c>
      <c r="E47" s="167">
        <v>2</v>
      </c>
      <c r="F47" s="167">
        <v>1.9</v>
      </c>
      <c r="G47" s="165">
        <v>1.7</v>
      </c>
      <c r="H47" s="165">
        <v>1.7</v>
      </c>
      <c r="I47" s="164"/>
      <c r="J47" s="165">
        <v>0.2</v>
      </c>
      <c r="K47" s="165">
        <v>2.4900000000000002</v>
      </c>
      <c r="L47" s="165">
        <v>1.2</v>
      </c>
      <c r="M47" s="165">
        <v>0.3</v>
      </c>
      <c r="O47" s="155"/>
    </row>
    <row r="48" spans="2:20" ht="14.25" customHeight="1" x14ac:dyDescent="0.45">
      <c r="B48" s="176"/>
      <c r="C48" s="176" t="s">
        <v>319</v>
      </c>
      <c r="D48" s="176"/>
      <c r="E48" s="170">
        <f>SUM(E46:E47)</f>
        <v>9</v>
      </c>
      <c r="F48" s="177">
        <v>2.7</v>
      </c>
      <c r="G48" s="177">
        <f t="shared" ref="G48:H48" si="5">SUM(G46:G47)</f>
        <v>1.9</v>
      </c>
      <c r="H48" s="177">
        <f t="shared" si="5"/>
        <v>6</v>
      </c>
      <c r="I48" s="177">
        <v>2.2999999999999998</v>
      </c>
      <c r="J48" s="177">
        <v>0.6</v>
      </c>
      <c r="K48" s="177">
        <v>3.28</v>
      </c>
      <c r="L48" s="177">
        <v>1.9</v>
      </c>
      <c r="M48" s="177">
        <v>0.9</v>
      </c>
      <c r="O48" s="155">
        <f>+E48*24*3600/1000</f>
        <v>777.6</v>
      </c>
      <c r="P48" s="155">
        <f>+O48*365</f>
        <v>283824</v>
      </c>
      <c r="Q48" s="48">
        <f>+'Water Balance'!$J$6</f>
        <v>751361</v>
      </c>
      <c r="R48" t="s">
        <v>66</v>
      </c>
      <c r="S48" s="172">
        <f>+P48/Q48</f>
        <v>0.37774651598898534</v>
      </c>
      <c r="T48" s="92">
        <f>'Water Balance'!J143</f>
        <v>0.48889607658635464</v>
      </c>
    </row>
    <row r="49" spans="2:20" x14ac:dyDescent="0.45">
      <c r="B49" s="164"/>
      <c r="C49" s="164" t="s">
        <v>320</v>
      </c>
      <c r="D49" s="164" t="s">
        <v>68</v>
      </c>
      <c r="E49" s="165">
        <v>1.2</v>
      </c>
      <c r="F49" s="165">
        <v>0.8</v>
      </c>
      <c r="G49" s="165">
        <v>0.7</v>
      </c>
      <c r="H49" s="165">
        <v>0.3</v>
      </c>
      <c r="I49" s="165">
        <v>0.8</v>
      </c>
      <c r="J49" s="165">
        <v>0.3</v>
      </c>
      <c r="K49" s="165">
        <v>0.5</v>
      </c>
      <c r="L49" s="165">
        <v>0.7</v>
      </c>
      <c r="M49" s="165">
        <v>0.5</v>
      </c>
      <c r="O49" s="155">
        <f>+E49*24*3600/1000</f>
        <v>103.67999999999998</v>
      </c>
      <c r="P49" s="155">
        <f>+O49*365</f>
        <v>37843.19999999999</v>
      </c>
      <c r="Q49" s="48">
        <f>'Water Balance'!N9</f>
        <v>127650</v>
      </c>
      <c r="R49" t="s">
        <v>68</v>
      </c>
      <c r="S49" s="172">
        <f>+P49/Q49</f>
        <v>0.29646063454759097</v>
      </c>
      <c r="T49" s="92">
        <f>'Water Balance'!N143</f>
        <v>7.3456717587152373E-2</v>
      </c>
    </row>
    <row r="50" spans="2:20" x14ac:dyDescent="0.45">
      <c r="B50" s="164"/>
      <c r="C50" s="164" t="s">
        <v>71</v>
      </c>
      <c r="D50" s="164" t="s">
        <v>321</v>
      </c>
      <c r="E50" s="165">
        <v>8.3000000000000007</v>
      </c>
      <c r="F50" s="165">
        <v>3.8</v>
      </c>
      <c r="G50" s="165">
        <v>2.2999999999999998</v>
      </c>
      <c r="H50" s="165">
        <v>2.2000000000000002</v>
      </c>
      <c r="I50" s="165">
        <v>2.2000000000000002</v>
      </c>
      <c r="J50" s="165">
        <v>0</v>
      </c>
      <c r="K50" s="165">
        <v>3.3</v>
      </c>
      <c r="L50" s="165">
        <v>3.2</v>
      </c>
      <c r="M50" s="165">
        <v>5</v>
      </c>
      <c r="O50" s="155"/>
    </row>
    <row r="51" spans="2:20" x14ac:dyDescent="0.45">
      <c r="B51" s="164"/>
      <c r="C51" s="164"/>
      <c r="D51" s="164" t="s">
        <v>322</v>
      </c>
      <c r="E51" s="203">
        <v>5.3</v>
      </c>
      <c r="F51" s="165">
        <v>2.1</v>
      </c>
      <c r="G51" s="165">
        <v>2.1</v>
      </c>
      <c r="H51" s="165">
        <v>2.1</v>
      </c>
      <c r="I51" s="165">
        <v>2.1</v>
      </c>
      <c r="J51" s="165">
        <v>0.1</v>
      </c>
      <c r="K51" s="165">
        <v>0</v>
      </c>
      <c r="L51" s="165">
        <v>0.1</v>
      </c>
      <c r="M51" s="164"/>
      <c r="O51" s="155"/>
    </row>
    <row r="52" spans="2:20" x14ac:dyDescent="0.45">
      <c r="B52" s="164"/>
      <c r="C52" s="164"/>
      <c r="D52" s="164" t="s">
        <v>323</v>
      </c>
      <c r="E52" s="203">
        <v>8.3000000000000007</v>
      </c>
      <c r="F52" s="165">
        <v>0.9</v>
      </c>
      <c r="G52" s="165">
        <v>0.3</v>
      </c>
      <c r="H52" s="165">
        <v>0.5</v>
      </c>
      <c r="I52" s="165">
        <v>0.2</v>
      </c>
      <c r="J52" s="165">
        <v>0.5</v>
      </c>
      <c r="K52" s="165">
        <v>0.19</v>
      </c>
      <c r="L52" s="165">
        <v>0.2</v>
      </c>
      <c r="M52" s="165">
        <v>0.3</v>
      </c>
      <c r="O52" s="155"/>
    </row>
    <row r="53" spans="2:20" x14ac:dyDescent="0.45">
      <c r="B53" s="164"/>
      <c r="C53" s="164"/>
      <c r="D53" s="164" t="s">
        <v>324</v>
      </c>
      <c r="E53" s="204">
        <v>0.3</v>
      </c>
      <c r="F53" s="165">
        <v>0</v>
      </c>
      <c r="G53" s="165">
        <v>0</v>
      </c>
      <c r="H53" s="165">
        <v>0</v>
      </c>
      <c r="I53" s="165">
        <v>2.2000000000000002</v>
      </c>
      <c r="J53" s="165">
        <v>2.4</v>
      </c>
      <c r="K53" s="165">
        <v>1.4</v>
      </c>
      <c r="L53" s="165">
        <v>2</v>
      </c>
      <c r="M53" s="164"/>
      <c r="O53" s="155"/>
    </row>
    <row r="54" spans="2:20" x14ac:dyDescent="0.45">
      <c r="B54" s="164"/>
      <c r="C54" s="164"/>
      <c r="D54" s="164" t="s">
        <v>325</v>
      </c>
      <c r="E54" s="203">
        <v>6.8</v>
      </c>
      <c r="F54" s="165">
        <v>2.9</v>
      </c>
      <c r="G54" s="165">
        <v>2.2999999999999998</v>
      </c>
      <c r="H54" s="165">
        <v>2.2999999999999998</v>
      </c>
      <c r="I54" s="165">
        <v>2.2000000000000002</v>
      </c>
      <c r="J54" s="165">
        <v>0.2</v>
      </c>
      <c r="K54" s="165">
        <v>1</v>
      </c>
      <c r="L54" s="165">
        <v>1</v>
      </c>
      <c r="M54" s="165">
        <v>2</v>
      </c>
      <c r="O54" s="155"/>
    </row>
    <row r="55" spans="2:20" ht="14.25" customHeight="1" x14ac:dyDescent="0.45">
      <c r="B55" s="164"/>
      <c r="C55" s="164"/>
      <c r="D55" s="164" t="s">
        <v>326</v>
      </c>
      <c r="E55" s="204">
        <v>2.9</v>
      </c>
      <c r="F55" s="165">
        <v>2.2999999999999998</v>
      </c>
      <c r="G55" s="165">
        <v>0.9</v>
      </c>
      <c r="H55" s="165">
        <v>0.8</v>
      </c>
      <c r="I55" s="165">
        <v>1.7</v>
      </c>
      <c r="J55" s="165">
        <v>1.6</v>
      </c>
      <c r="K55" s="165">
        <v>1.4</v>
      </c>
      <c r="L55" s="165">
        <v>1.4</v>
      </c>
      <c r="M55" s="165">
        <v>0.3</v>
      </c>
      <c r="O55" s="155"/>
    </row>
    <row r="56" spans="2:20" x14ac:dyDescent="0.45">
      <c r="B56" s="164"/>
      <c r="C56" s="164"/>
      <c r="D56" s="164" t="s">
        <v>327</v>
      </c>
      <c r="E56" s="204">
        <v>1</v>
      </c>
      <c r="F56" s="165">
        <v>0.6</v>
      </c>
      <c r="G56" s="165">
        <v>0.9</v>
      </c>
      <c r="H56" s="165">
        <v>0.9</v>
      </c>
      <c r="I56" s="165">
        <v>0.3</v>
      </c>
      <c r="J56" s="165">
        <v>0.3</v>
      </c>
      <c r="K56" s="165">
        <v>1</v>
      </c>
      <c r="L56" s="165">
        <v>1</v>
      </c>
      <c r="M56" s="165">
        <v>1.1000000000000001</v>
      </c>
      <c r="O56" s="155"/>
    </row>
    <row r="57" spans="2:20" ht="14.25" customHeight="1" x14ac:dyDescent="0.45">
      <c r="B57" s="164"/>
      <c r="C57" s="164"/>
      <c r="D57" s="164" t="s">
        <v>328</v>
      </c>
      <c r="E57" s="202">
        <v>2</v>
      </c>
      <c r="F57" s="166">
        <v>15.4</v>
      </c>
      <c r="G57" s="165">
        <v>0.3</v>
      </c>
      <c r="H57" s="165">
        <v>5.8</v>
      </c>
      <c r="I57" s="165">
        <v>12.5</v>
      </c>
      <c r="J57" s="165">
        <v>11</v>
      </c>
      <c r="K57" s="165">
        <v>16.399999999999999</v>
      </c>
      <c r="L57" s="165">
        <v>11</v>
      </c>
      <c r="M57" s="165">
        <v>13</v>
      </c>
      <c r="O57" s="155"/>
    </row>
    <row r="58" spans="2:20" x14ac:dyDescent="0.45">
      <c r="B58" s="176"/>
      <c r="C58" s="176" t="s">
        <v>329</v>
      </c>
      <c r="D58" s="176"/>
      <c r="E58" s="170">
        <f>SUM(E49:E57)</f>
        <v>36.1</v>
      </c>
      <c r="F58" s="177">
        <v>28.8</v>
      </c>
      <c r="G58" s="177">
        <f>SUM(G50:G57)</f>
        <v>9.1000000000000014</v>
      </c>
      <c r="H58" s="177">
        <f>SUM(H49:H57)</f>
        <v>14.899999999999999</v>
      </c>
      <c r="I58" s="177">
        <f>SUM(I50:I57)</f>
        <v>23.400000000000002</v>
      </c>
      <c r="J58" s="177">
        <v>16.100000000000001</v>
      </c>
      <c r="K58" s="177">
        <v>24.69</v>
      </c>
      <c r="L58" s="177">
        <v>19.899999999999999</v>
      </c>
      <c r="M58" s="177">
        <v>21.8</v>
      </c>
      <c r="O58" s="155">
        <f>+E58*24*3600/1000</f>
        <v>3119.0400000000004</v>
      </c>
      <c r="P58" s="155">
        <f>+O58*365</f>
        <v>1138449.6000000001</v>
      </c>
      <c r="Q58" s="48">
        <f>+'Water Balance'!$P$6</f>
        <v>4290682</v>
      </c>
      <c r="R58" t="s">
        <v>71</v>
      </c>
      <c r="S58" s="172">
        <f>+P58/Q58</f>
        <v>0.26533068635708729</v>
      </c>
      <c r="T58" s="92">
        <f>'Water Balance'!P143</f>
        <v>0.21594296431196719</v>
      </c>
    </row>
    <row r="59" spans="2:20" x14ac:dyDescent="0.45">
      <c r="B59" s="173" t="s">
        <v>329</v>
      </c>
      <c r="C59" s="174"/>
      <c r="D59" s="174"/>
      <c r="E59" s="175">
        <f>E58+E49+E48</f>
        <v>46.300000000000004</v>
      </c>
      <c r="F59" s="175">
        <f>28.8+2.7</f>
        <v>31.5</v>
      </c>
      <c r="G59" s="175">
        <f>SUM(G46:G57)</f>
        <v>13.600000000000001</v>
      </c>
      <c r="H59" s="175">
        <f>H58+H49+H48</f>
        <v>21.2</v>
      </c>
      <c r="I59" s="175">
        <f>SUM(I46:I57)</f>
        <v>26.5</v>
      </c>
      <c r="J59" s="175">
        <v>17</v>
      </c>
      <c r="K59" s="175">
        <v>28.47</v>
      </c>
      <c r="L59" s="175">
        <v>22.5</v>
      </c>
      <c r="M59" s="175">
        <v>23.2</v>
      </c>
      <c r="O59" s="155">
        <f>+E59*24*3600/1000</f>
        <v>4000.32</v>
      </c>
    </row>
    <row r="60" spans="2:20" x14ac:dyDescent="0.45">
      <c r="B60" s="178" t="s">
        <v>257</v>
      </c>
      <c r="C60" s="179"/>
      <c r="D60" s="179"/>
      <c r="E60" s="180">
        <f>E45+E59</f>
        <v>147.86000000000001</v>
      </c>
      <c r="F60" s="180">
        <f t="shared" ref="F60:G60" si="6">F59+F45</f>
        <v>136.63</v>
      </c>
      <c r="G60" s="180">
        <f t="shared" si="6"/>
        <v>101.85</v>
      </c>
      <c r="H60" s="180">
        <f>H45+H59</f>
        <v>112.32</v>
      </c>
      <c r="I60" s="180">
        <f>I59+I45</f>
        <v>121.2</v>
      </c>
      <c r="J60" s="180">
        <v>73.959999999999994</v>
      </c>
      <c r="K60" s="180">
        <v>87.21</v>
      </c>
      <c r="L60" s="180">
        <v>112.1</v>
      </c>
      <c r="M60" s="180">
        <v>166.1</v>
      </c>
      <c r="O60" s="155">
        <f>+E60*24*3600/1000</f>
        <v>12775.104000000001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EBCC0-94D9-413C-A82E-5CA5DB75CD03}">
  <dimension ref="A1:AQ46"/>
  <sheetViews>
    <sheetView zoomScale="85" zoomScaleNormal="85" workbookViewId="0">
      <selection activeCell="B5" sqref="B5:N5"/>
    </sheetView>
  </sheetViews>
  <sheetFormatPr defaultRowHeight="14.25" x14ac:dyDescent="0.45"/>
  <cols>
    <col min="2" max="2" width="10.73046875" style="22" customWidth="1"/>
    <col min="3" max="3" width="9.53125" style="22" customWidth="1"/>
    <col min="4" max="4" width="12.53125" style="22" customWidth="1"/>
    <col min="5" max="5" width="11.46484375" style="22" customWidth="1"/>
    <col min="6" max="6" width="17.46484375" style="22" customWidth="1"/>
    <col min="7" max="7" width="12.73046875" style="22" customWidth="1"/>
    <col min="8" max="8" width="11.53125" style="22" customWidth="1"/>
    <col min="9" max="9" width="11.265625" style="22" customWidth="1"/>
    <col min="10" max="10" width="18.265625" style="22" customWidth="1"/>
    <col min="11" max="11" width="5.796875" style="22" customWidth="1"/>
    <col min="12" max="12" width="6" style="22" customWidth="1"/>
    <col min="13" max="13" width="6.19921875" style="22" customWidth="1"/>
    <col min="14" max="14" width="4.796875" style="22" customWidth="1"/>
    <col min="15" max="21" width="9" style="22"/>
  </cols>
  <sheetData>
    <row r="1" spans="1:21" ht="4.5" customHeight="1" thickBot="1" x14ac:dyDescent="0.5">
      <c r="B1" s="21"/>
      <c r="C1" s="21"/>
      <c r="D1" s="21"/>
      <c r="E1" s="21"/>
      <c r="F1" s="21"/>
      <c r="G1" s="21"/>
      <c r="H1" s="21"/>
      <c r="I1" s="21"/>
      <c r="J1" s="21"/>
      <c r="K1" s="21"/>
      <c r="L1" s="21"/>
      <c r="M1" s="21"/>
      <c r="N1" s="21"/>
    </row>
    <row r="2" spans="1:21" ht="19.5" customHeight="1" thickBot="1" x14ac:dyDescent="0.5">
      <c r="B2" s="263" t="s">
        <v>75</v>
      </c>
      <c r="C2" s="264"/>
      <c r="D2" s="264"/>
      <c r="E2" s="264"/>
      <c r="F2" s="264"/>
      <c r="G2" s="264"/>
      <c r="H2" s="264"/>
      <c r="I2" s="264"/>
      <c r="J2" s="264"/>
      <c r="K2" s="264"/>
      <c r="L2" s="264"/>
      <c r="M2" s="264"/>
      <c r="N2" s="265"/>
      <c r="P2" s="53" t="s">
        <v>129</v>
      </c>
      <c r="Q2" s="53" t="s">
        <v>80</v>
      </c>
    </row>
    <row r="3" spans="1:21" ht="3.75" customHeight="1" thickBot="1" x14ac:dyDescent="0.5">
      <c r="B3" s="23"/>
      <c r="C3" s="23"/>
      <c r="D3" s="23"/>
      <c r="E3" s="23"/>
      <c r="F3" s="23"/>
      <c r="G3" s="23"/>
      <c r="H3" s="23"/>
      <c r="I3" s="23"/>
      <c r="J3" s="23"/>
      <c r="K3" s="23"/>
      <c r="L3" s="23"/>
      <c r="M3" s="23"/>
      <c r="N3" s="23"/>
    </row>
    <row r="4" spans="1:21" s="24" customFormat="1" ht="16.5" customHeight="1" x14ac:dyDescent="0.45">
      <c r="B4" s="266" t="s">
        <v>76</v>
      </c>
      <c r="C4" s="267"/>
      <c r="D4" s="267"/>
      <c r="E4" s="267"/>
      <c r="F4" s="267"/>
      <c r="G4" s="267"/>
      <c r="H4" s="267"/>
      <c r="I4" s="267"/>
      <c r="J4" s="267"/>
      <c r="K4" s="267"/>
      <c r="L4" s="267"/>
      <c r="M4" s="267"/>
      <c r="N4" s="25" t="s">
        <v>77</v>
      </c>
      <c r="O4" s="26"/>
      <c r="P4" s="22">
        <v>0</v>
      </c>
      <c r="Q4" s="26" t="s">
        <v>85</v>
      </c>
      <c r="R4" s="26"/>
      <c r="S4" s="26"/>
      <c r="T4" s="26"/>
      <c r="U4" s="26"/>
    </row>
    <row r="5" spans="1:21" ht="69" customHeight="1" thickBot="1" x14ac:dyDescent="0.5">
      <c r="B5" s="268" t="s">
        <v>78</v>
      </c>
      <c r="C5" s="269"/>
      <c r="D5" s="269"/>
      <c r="E5" s="269"/>
      <c r="F5" s="269"/>
      <c r="G5" s="269"/>
      <c r="H5" s="269"/>
      <c r="I5" s="269"/>
      <c r="J5" s="269"/>
      <c r="K5" s="269"/>
      <c r="L5" s="269"/>
      <c r="M5" s="269"/>
      <c r="N5" s="270"/>
      <c r="P5" s="22">
        <v>1</v>
      </c>
      <c r="Q5" s="22" t="s">
        <v>85</v>
      </c>
    </row>
    <row r="6" spans="1:21" ht="16.5" customHeight="1" thickBot="1" x14ac:dyDescent="0.5">
      <c r="B6" s="271" t="s">
        <v>79</v>
      </c>
      <c r="C6" s="272" t="s">
        <v>80</v>
      </c>
      <c r="D6" s="273" t="s">
        <v>81</v>
      </c>
      <c r="E6" s="276" t="s">
        <v>82</v>
      </c>
      <c r="F6" s="277"/>
      <c r="G6" s="277"/>
      <c r="H6" s="277"/>
      <c r="I6" s="277"/>
      <c r="J6" s="277"/>
      <c r="K6" s="277"/>
      <c r="L6" s="277"/>
      <c r="M6" s="277"/>
      <c r="N6" s="278"/>
      <c r="P6" s="31">
        <v>2</v>
      </c>
      <c r="Q6" s="22" t="s">
        <v>77</v>
      </c>
    </row>
    <row r="7" spans="1:21" ht="16.5" customHeight="1" thickBot="1" x14ac:dyDescent="0.5">
      <c r="B7" s="271"/>
      <c r="C7" s="272"/>
      <c r="D7" s="274"/>
      <c r="E7" s="279"/>
      <c r="F7" s="280"/>
      <c r="G7" s="280"/>
      <c r="H7" s="280"/>
      <c r="I7" s="280"/>
      <c r="J7" s="280"/>
      <c r="K7" s="280"/>
      <c r="L7" s="280"/>
      <c r="M7" s="280"/>
      <c r="N7" s="281"/>
      <c r="P7" s="31">
        <v>3</v>
      </c>
      <c r="Q7" s="22" t="s">
        <v>77</v>
      </c>
    </row>
    <row r="8" spans="1:21" ht="14.65" thickBot="1" x14ac:dyDescent="0.5">
      <c r="B8" s="27" t="s">
        <v>83</v>
      </c>
      <c r="C8" s="272"/>
      <c r="D8" s="275"/>
      <c r="E8" s="279"/>
      <c r="F8" s="280"/>
      <c r="G8" s="280"/>
      <c r="H8" s="280"/>
      <c r="I8" s="280"/>
      <c r="J8" s="280"/>
      <c r="K8" s="280"/>
      <c r="L8" s="280"/>
      <c r="M8" s="280"/>
      <c r="N8" s="281"/>
      <c r="P8" s="31">
        <v>4</v>
      </c>
      <c r="Q8" s="22" t="s">
        <v>91</v>
      </c>
    </row>
    <row r="9" spans="1:21" s="28" customFormat="1" ht="27" customHeight="1" thickBot="1" x14ac:dyDescent="0.5">
      <c r="A9" s="28">
        <v>1</v>
      </c>
      <c r="B9" s="29" t="s">
        <v>84</v>
      </c>
      <c r="C9" s="29" t="s">
        <v>85</v>
      </c>
      <c r="D9" s="30" t="s">
        <v>86</v>
      </c>
      <c r="E9" s="241" t="s">
        <v>87</v>
      </c>
      <c r="F9" s="255"/>
      <c r="G9" s="255"/>
      <c r="H9" s="255"/>
      <c r="I9" s="255"/>
      <c r="J9" s="255"/>
      <c r="K9" s="255"/>
      <c r="L9" s="255"/>
      <c r="M9" s="255"/>
      <c r="N9" s="256"/>
      <c r="O9" s="31"/>
      <c r="P9" s="31">
        <v>5</v>
      </c>
      <c r="Q9" s="28" t="s">
        <v>91</v>
      </c>
      <c r="R9" s="31"/>
      <c r="S9" s="31"/>
      <c r="T9" s="31"/>
      <c r="U9" s="31"/>
    </row>
    <row r="10" spans="1:21" s="28" customFormat="1" ht="27.75" customHeight="1" thickBot="1" x14ac:dyDescent="0.5">
      <c r="A10" s="28">
        <v>3</v>
      </c>
      <c r="B10" s="29" t="s">
        <v>88</v>
      </c>
      <c r="C10" s="29" t="s">
        <v>77</v>
      </c>
      <c r="D10" s="30"/>
      <c r="E10" s="241" t="s">
        <v>89</v>
      </c>
      <c r="F10" s="255"/>
      <c r="G10" s="255"/>
      <c r="H10" s="255"/>
      <c r="I10" s="255"/>
      <c r="J10" s="255"/>
      <c r="K10" s="255"/>
      <c r="L10" s="255"/>
      <c r="M10" s="255"/>
      <c r="N10" s="256"/>
      <c r="O10" s="31"/>
      <c r="P10" s="22">
        <v>6</v>
      </c>
      <c r="Q10" s="28" t="s">
        <v>91</v>
      </c>
      <c r="R10" s="31"/>
      <c r="S10" s="31"/>
      <c r="T10" s="31"/>
      <c r="U10" s="31"/>
    </row>
    <row r="11" spans="1:21" s="28" customFormat="1" ht="26.25" customHeight="1" thickBot="1" x14ac:dyDescent="0.5">
      <c r="A11" s="28">
        <v>6</v>
      </c>
      <c r="B11" s="29" t="s">
        <v>90</v>
      </c>
      <c r="C11" s="29" t="s">
        <v>91</v>
      </c>
      <c r="D11" s="30" t="s">
        <v>86</v>
      </c>
      <c r="E11" s="241" t="s">
        <v>92</v>
      </c>
      <c r="F11" s="255"/>
      <c r="G11" s="255"/>
      <c r="H11" s="255"/>
      <c r="I11" s="255"/>
      <c r="J11" s="255"/>
      <c r="K11" s="255"/>
      <c r="L11" s="255"/>
      <c r="M11" s="255"/>
      <c r="N11" s="256"/>
      <c r="O11" s="31"/>
      <c r="P11" s="22">
        <v>7</v>
      </c>
      <c r="Q11" s="28" t="s">
        <v>91</v>
      </c>
      <c r="R11" s="31"/>
      <c r="S11" s="31"/>
      <c r="T11" s="31"/>
      <c r="U11" s="31"/>
    </row>
    <row r="12" spans="1:21" s="28" customFormat="1" ht="30" customHeight="1" thickBot="1" x14ac:dyDescent="0.5">
      <c r="A12" s="28">
        <v>10</v>
      </c>
      <c r="B12" s="29" t="s">
        <v>93</v>
      </c>
      <c r="C12" s="29" t="s">
        <v>94</v>
      </c>
      <c r="D12" s="30" t="s">
        <v>86</v>
      </c>
      <c r="E12" s="241" t="s">
        <v>95</v>
      </c>
      <c r="F12" s="255"/>
      <c r="G12" s="255"/>
      <c r="H12" s="257"/>
      <c r="I12" s="257"/>
      <c r="J12" s="257"/>
      <c r="K12" s="257"/>
      <c r="L12" s="257"/>
      <c r="M12" s="257"/>
      <c r="N12" s="258"/>
      <c r="O12" s="31"/>
      <c r="P12" s="22">
        <v>8</v>
      </c>
      <c r="Q12" s="28" t="s">
        <v>94</v>
      </c>
      <c r="R12" s="31"/>
      <c r="S12" s="31"/>
      <c r="T12" s="31"/>
      <c r="U12" s="31"/>
    </row>
    <row r="13" spans="1:21" ht="8.1999999999999993" customHeight="1" thickTop="1" x14ac:dyDescent="0.45">
      <c r="H13" s="259" t="s">
        <v>96</v>
      </c>
      <c r="I13" s="260"/>
      <c r="J13" s="260"/>
      <c r="K13" s="260" t="s">
        <v>85</v>
      </c>
      <c r="L13" s="260" t="s">
        <v>77</v>
      </c>
      <c r="M13" s="260" t="s">
        <v>91</v>
      </c>
      <c r="N13" s="262" t="s">
        <v>94</v>
      </c>
    </row>
    <row r="14" spans="1:21" ht="8.1999999999999993" customHeight="1" x14ac:dyDescent="0.45">
      <c r="C14" s="32" t="s">
        <v>97</v>
      </c>
      <c r="D14" s="32" t="s">
        <v>98</v>
      </c>
      <c r="E14" s="32" t="s">
        <v>99</v>
      </c>
      <c r="F14" s="32" t="s">
        <v>100</v>
      </c>
      <c r="G14" s="32" t="s">
        <v>101</v>
      </c>
      <c r="H14" s="261"/>
      <c r="I14" s="234"/>
      <c r="J14" s="234"/>
      <c r="K14" s="234"/>
      <c r="L14" s="234"/>
      <c r="M14" s="234"/>
      <c r="N14" s="254"/>
    </row>
    <row r="15" spans="1:21" ht="8.1999999999999993" customHeight="1" x14ac:dyDescent="0.45">
      <c r="C15" s="33">
        <v>0.7</v>
      </c>
      <c r="D15" s="32">
        <v>2</v>
      </c>
      <c r="E15" s="32">
        <v>4</v>
      </c>
      <c r="F15" s="32">
        <v>8</v>
      </c>
      <c r="G15" s="34">
        <v>2.2501375451384131</v>
      </c>
      <c r="H15" s="251" t="s">
        <v>102</v>
      </c>
      <c r="I15" s="252"/>
      <c r="J15" s="253"/>
      <c r="K15" s="234" t="s">
        <v>103</v>
      </c>
      <c r="L15" s="234" t="s">
        <v>103</v>
      </c>
      <c r="M15" s="234" t="s">
        <v>103</v>
      </c>
      <c r="N15" s="254"/>
    </row>
    <row r="16" spans="1:21" ht="8.1999999999999993" customHeight="1" x14ac:dyDescent="0.45">
      <c r="C16" s="35">
        <v>1</v>
      </c>
      <c r="D16" s="32">
        <v>2</v>
      </c>
      <c r="E16" s="32">
        <v>4</v>
      </c>
      <c r="F16" s="32">
        <v>8</v>
      </c>
      <c r="G16" s="34">
        <v>2.2501375451384131</v>
      </c>
      <c r="H16" s="251"/>
      <c r="I16" s="252"/>
      <c r="J16" s="253"/>
      <c r="K16" s="234"/>
      <c r="L16" s="234"/>
      <c r="M16" s="234"/>
      <c r="N16" s="254"/>
    </row>
    <row r="17" spans="3:14" ht="8.1999999999999993" customHeight="1" x14ac:dyDescent="0.45">
      <c r="C17" s="36">
        <v>1</v>
      </c>
      <c r="D17" s="32">
        <v>2</v>
      </c>
      <c r="E17" s="32">
        <v>4</v>
      </c>
      <c r="F17" s="32">
        <v>8</v>
      </c>
      <c r="G17" s="34">
        <v>2.2501375451384131</v>
      </c>
      <c r="H17" s="251" t="s">
        <v>104</v>
      </c>
      <c r="I17" s="252"/>
      <c r="J17" s="253"/>
      <c r="K17" s="234" t="s">
        <v>103</v>
      </c>
      <c r="L17" s="234" t="s">
        <v>103</v>
      </c>
      <c r="M17" s="234" t="s">
        <v>103</v>
      </c>
      <c r="N17" s="254"/>
    </row>
    <row r="18" spans="3:14" ht="8.1999999999999993" customHeight="1" x14ac:dyDescent="0.45">
      <c r="C18" s="35">
        <v>1</v>
      </c>
      <c r="D18" s="32">
        <v>2</v>
      </c>
      <c r="E18" s="32">
        <v>4</v>
      </c>
      <c r="F18" s="32">
        <v>8</v>
      </c>
      <c r="G18" s="34">
        <v>2.2501375451384131</v>
      </c>
      <c r="H18" s="251"/>
      <c r="I18" s="252"/>
      <c r="J18" s="253"/>
      <c r="K18" s="234"/>
      <c r="L18" s="234"/>
      <c r="M18" s="234"/>
      <c r="N18" s="254"/>
    </row>
    <row r="19" spans="3:14" ht="8.1999999999999993" customHeight="1" x14ac:dyDescent="0.45">
      <c r="C19" s="33">
        <v>1</v>
      </c>
      <c r="D19" s="32">
        <v>2</v>
      </c>
      <c r="E19" s="32">
        <v>4</v>
      </c>
      <c r="F19" s="32">
        <v>8</v>
      </c>
      <c r="G19" s="34">
        <v>2.2501375451384131</v>
      </c>
      <c r="H19" s="251" t="s">
        <v>105</v>
      </c>
      <c r="I19" s="252"/>
      <c r="J19" s="253"/>
      <c r="K19" s="234" t="s">
        <v>103</v>
      </c>
      <c r="L19" s="234" t="s">
        <v>103</v>
      </c>
      <c r="M19" s="234"/>
      <c r="N19" s="254"/>
    </row>
    <row r="20" spans="3:14" ht="8.1999999999999993" customHeight="1" x14ac:dyDescent="0.45">
      <c r="C20" s="33">
        <v>1.1000000000000001</v>
      </c>
      <c r="D20" s="32">
        <v>2</v>
      </c>
      <c r="E20" s="32">
        <v>4</v>
      </c>
      <c r="F20" s="32">
        <v>8</v>
      </c>
      <c r="G20" s="34">
        <v>2.2501375451384131</v>
      </c>
      <c r="H20" s="251"/>
      <c r="I20" s="252"/>
      <c r="J20" s="253"/>
      <c r="K20" s="234"/>
      <c r="L20" s="234"/>
      <c r="M20" s="234"/>
      <c r="N20" s="254"/>
    </row>
    <row r="21" spans="3:14" ht="8.1999999999999993" customHeight="1" x14ac:dyDescent="0.45">
      <c r="C21" s="33">
        <v>1.2</v>
      </c>
      <c r="D21" s="32">
        <v>2</v>
      </c>
      <c r="E21" s="32">
        <v>4</v>
      </c>
      <c r="F21" s="32">
        <v>8</v>
      </c>
      <c r="G21" s="34">
        <v>2.2501375451384131</v>
      </c>
      <c r="H21" s="251" t="s">
        <v>106</v>
      </c>
      <c r="I21" s="252"/>
      <c r="J21" s="253"/>
      <c r="K21" s="234" t="s">
        <v>103</v>
      </c>
      <c r="L21" s="234" t="s">
        <v>103</v>
      </c>
      <c r="M21" s="234" t="s">
        <v>103</v>
      </c>
      <c r="N21" s="254"/>
    </row>
    <row r="22" spans="3:14" ht="8.1999999999999993" customHeight="1" x14ac:dyDescent="0.45">
      <c r="C22" s="33">
        <v>1.2</v>
      </c>
      <c r="D22" s="32">
        <v>2</v>
      </c>
      <c r="E22" s="32">
        <v>4</v>
      </c>
      <c r="F22" s="32">
        <v>8</v>
      </c>
      <c r="G22" s="34">
        <v>2.2501375451384131</v>
      </c>
      <c r="H22" s="251"/>
      <c r="I22" s="252"/>
      <c r="J22" s="253"/>
      <c r="K22" s="234"/>
      <c r="L22" s="234"/>
      <c r="M22" s="234"/>
      <c r="N22" s="254"/>
    </row>
    <row r="23" spans="3:14" ht="8.1999999999999993" customHeight="1" x14ac:dyDescent="0.45">
      <c r="C23" s="33">
        <v>1.2</v>
      </c>
      <c r="D23" s="32">
        <v>2</v>
      </c>
      <c r="E23" s="32">
        <v>4</v>
      </c>
      <c r="F23" s="32">
        <v>8</v>
      </c>
      <c r="G23" s="34">
        <v>2.2501375451384131</v>
      </c>
      <c r="H23" s="249" t="s">
        <v>107</v>
      </c>
      <c r="I23" s="250"/>
      <c r="J23" s="250"/>
      <c r="K23" s="235"/>
      <c r="L23" s="235" t="s">
        <v>103</v>
      </c>
      <c r="M23" s="235" t="s">
        <v>103</v>
      </c>
      <c r="N23" s="236"/>
    </row>
    <row r="24" spans="3:14" ht="8.1999999999999993" customHeight="1" x14ac:dyDescent="0.45">
      <c r="C24" s="33">
        <v>1.35</v>
      </c>
      <c r="D24" s="32">
        <v>2</v>
      </c>
      <c r="E24" s="32">
        <v>4</v>
      </c>
      <c r="F24" s="32">
        <v>8</v>
      </c>
      <c r="G24" s="34">
        <v>2.2501375451384131</v>
      </c>
      <c r="H24" s="249"/>
      <c r="I24" s="250"/>
      <c r="J24" s="250"/>
      <c r="K24" s="235"/>
      <c r="L24" s="235"/>
      <c r="M24" s="235"/>
      <c r="N24" s="236"/>
    </row>
    <row r="25" spans="3:14" ht="8.1999999999999993" customHeight="1" x14ac:dyDescent="0.45">
      <c r="C25" s="33">
        <v>1.4</v>
      </c>
      <c r="D25" s="32">
        <v>2</v>
      </c>
      <c r="E25" s="32">
        <v>4</v>
      </c>
      <c r="F25" s="32">
        <v>8</v>
      </c>
      <c r="G25" s="34">
        <v>2.2501375451384131</v>
      </c>
      <c r="H25" s="249"/>
      <c r="I25" s="250"/>
      <c r="J25" s="250"/>
      <c r="K25" s="235"/>
      <c r="L25" s="235"/>
      <c r="M25" s="235"/>
      <c r="N25" s="236"/>
    </row>
    <row r="26" spans="3:14" ht="8.1999999999999993" customHeight="1" x14ac:dyDescent="0.45">
      <c r="C26" s="33">
        <v>1.5</v>
      </c>
      <c r="D26" s="32">
        <v>2</v>
      </c>
      <c r="E26" s="32">
        <v>4</v>
      </c>
      <c r="F26" s="32">
        <v>8</v>
      </c>
      <c r="G26" s="34">
        <v>2.2501375451384131</v>
      </c>
      <c r="H26" s="249" t="s">
        <v>108</v>
      </c>
      <c r="I26" s="250"/>
      <c r="J26" s="250"/>
      <c r="K26" s="235" t="s">
        <v>103</v>
      </c>
      <c r="L26" s="235" t="s">
        <v>103</v>
      </c>
      <c r="M26" s="235"/>
      <c r="N26" s="236"/>
    </row>
    <row r="27" spans="3:14" ht="8.1999999999999993" customHeight="1" x14ac:dyDescent="0.45">
      <c r="C27" s="36">
        <v>1.5</v>
      </c>
      <c r="D27" s="32">
        <v>2</v>
      </c>
      <c r="E27" s="32">
        <v>4</v>
      </c>
      <c r="F27" s="32">
        <v>8</v>
      </c>
      <c r="G27" s="34">
        <v>2.2501375451384131</v>
      </c>
      <c r="H27" s="249"/>
      <c r="I27" s="250"/>
      <c r="J27" s="250"/>
      <c r="K27" s="235"/>
      <c r="L27" s="235"/>
      <c r="M27" s="235"/>
      <c r="N27" s="236"/>
    </row>
    <row r="28" spans="3:14" ht="8.1999999999999993" customHeight="1" x14ac:dyDescent="0.45">
      <c r="C28" s="36">
        <v>1.6</v>
      </c>
      <c r="D28" s="32">
        <v>2</v>
      </c>
      <c r="E28" s="32">
        <v>4</v>
      </c>
      <c r="F28" s="32">
        <v>8</v>
      </c>
      <c r="G28" s="34">
        <v>2.2501375451384131</v>
      </c>
      <c r="H28" s="249"/>
      <c r="I28" s="250"/>
      <c r="J28" s="250"/>
      <c r="K28" s="235"/>
      <c r="L28" s="235"/>
      <c r="M28" s="235"/>
      <c r="N28" s="236"/>
    </row>
    <row r="29" spans="3:14" ht="8.1999999999999993" customHeight="1" x14ac:dyDescent="0.45">
      <c r="C29" s="36">
        <v>1.6</v>
      </c>
      <c r="D29" s="32">
        <v>2</v>
      </c>
      <c r="E29" s="32">
        <v>4</v>
      </c>
      <c r="F29" s="32">
        <v>8</v>
      </c>
      <c r="G29" s="34">
        <v>2.2501375451384131</v>
      </c>
      <c r="H29" s="249" t="s">
        <v>109</v>
      </c>
      <c r="I29" s="250"/>
      <c r="J29" s="250"/>
      <c r="K29" s="235"/>
      <c r="L29" s="235" t="s">
        <v>103</v>
      </c>
      <c r="M29" s="235" t="s">
        <v>103</v>
      </c>
      <c r="N29" s="236"/>
    </row>
    <row r="30" spans="3:14" ht="8.1999999999999993" customHeight="1" x14ac:dyDescent="0.45">
      <c r="C30" s="37">
        <v>1.6</v>
      </c>
      <c r="D30" s="32">
        <v>2</v>
      </c>
      <c r="E30" s="32">
        <v>4</v>
      </c>
      <c r="F30" s="32">
        <v>8</v>
      </c>
      <c r="G30" s="34">
        <v>2.2501375451384131</v>
      </c>
      <c r="H30" s="249"/>
      <c r="I30" s="250"/>
      <c r="J30" s="250"/>
      <c r="K30" s="235"/>
      <c r="L30" s="235"/>
      <c r="M30" s="235"/>
      <c r="N30" s="236"/>
    </row>
    <row r="31" spans="3:14" ht="8.1999999999999993" customHeight="1" x14ac:dyDescent="0.45">
      <c r="C31" s="33">
        <v>1.7</v>
      </c>
      <c r="D31" s="32">
        <v>2</v>
      </c>
      <c r="E31" s="32">
        <v>4</v>
      </c>
      <c r="F31" s="32">
        <v>8</v>
      </c>
      <c r="G31" s="34">
        <v>2.2501375451384131</v>
      </c>
      <c r="H31" s="249"/>
      <c r="I31" s="250"/>
      <c r="J31" s="250"/>
      <c r="K31" s="235"/>
      <c r="L31" s="235"/>
      <c r="M31" s="235"/>
      <c r="N31" s="236"/>
    </row>
    <row r="32" spans="3:14" ht="8.1999999999999993" customHeight="1" x14ac:dyDescent="0.45">
      <c r="C32" s="33">
        <v>1.8</v>
      </c>
      <c r="D32" s="32">
        <v>2</v>
      </c>
      <c r="E32" s="32">
        <v>4</v>
      </c>
      <c r="F32" s="32">
        <v>8</v>
      </c>
      <c r="G32" s="34">
        <v>2.2501375451384131</v>
      </c>
      <c r="H32" s="249" t="s">
        <v>110</v>
      </c>
      <c r="I32" s="250"/>
      <c r="J32" s="250"/>
      <c r="K32" s="235"/>
      <c r="L32" s="235" t="s">
        <v>103</v>
      </c>
      <c r="M32" s="235" t="s">
        <v>103</v>
      </c>
      <c r="N32" s="236" t="s">
        <v>103</v>
      </c>
    </row>
    <row r="33" spans="2:43" ht="8.1999999999999993" customHeight="1" x14ac:dyDescent="0.45">
      <c r="C33" s="33">
        <v>2.5</v>
      </c>
      <c r="D33" s="32">
        <v>2</v>
      </c>
      <c r="E33" s="32">
        <v>4</v>
      </c>
      <c r="F33" s="32">
        <v>8</v>
      </c>
      <c r="G33" s="34">
        <v>2.2501375451384131</v>
      </c>
      <c r="H33" s="249"/>
      <c r="I33" s="250"/>
      <c r="J33" s="250"/>
      <c r="K33" s="235"/>
      <c r="L33" s="235"/>
      <c r="M33" s="235"/>
      <c r="N33" s="236"/>
    </row>
    <row r="34" spans="2:43" ht="8.1999999999999993" customHeight="1" x14ac:dyDescent="0.45">
      <c r="C34" s="33">
        <v>3.6</v>
      </c>
      <c r="D34" s="32">
        <v>2</v>
      </c>
      <c r="E34" s="32">
        <v>4</v>
      </c>
      <c r="F34" s="32">
        <v>8</v>
      </c>
      <c r="G34" s="34">
        <v>2.2501375451384131</v>
      </c>
      <c r="H34" s="249"/>
      <c r="I34" s="250"/>
      <c r="J34" s="250"/>
      <c r="K34" s="235"/>
      <c r="L34" s="235"/>
      <c r="M34" s="235"/>
      <c r="N34" s="236"/>
    </row>
    <row r="35" spans="2:43" ht="8.1999999999999993" customHeight="1" x14ac:dyDescent="0.45">
      <c r="C35" s="38">
        <v>3.6</v>
      </c>
      <c r="D35" s="32">
        <v>2</v>
      </c>
      <c r="E35" s="32">
        <v>4</v>
      </c>
      <c r="F35" s="32">
        <v>8</v>
      </c>
      <c r="G35" s="34">
        <v>2.2501375451384131</v>
      </c>
      <c r="H35" s="231" t="s">
        <v>111</v>
      </c>
      <c r="I35" s="232"/>
      <c r="J35" s="233"/>
      <c r="K35" s="234"/>
      <c r="L35" s="234"/>
      <c r="M35" s="235" t="s">
        <v>103</v>
      </c>
      <c r="N35" s="236" t="s">
        <v>103</v>
      </c>
    </row>
    <row r="36" spans="2:43" ht="6.75" customHeight="1" x14ac:dyDescent="0.45">
      <c r="C36" s="39">
        <v>5.8</v>
      </c>
      <c r="D36" s="32">
        <v>2</v>
      </c>
      <c r="E36" s="32">
        <v>4</v>
      </c>
      <c r="F36" s="32">
        <v>8</v>
      </c>
      <c r="G36" s="34">
        <v>2.2501375451384131</v>
      </c>
      <c r="H36" s="231"/>
      <c r="I36" s="232"/>
      <c r="J36" s="233"/>
      <c r="K36" s="234"/>
      <c r="L36" s="234"/>
      <c r="M36" s="235"/>
      <c r="N36" s="236"/>
    </row>
    <row r="37" spans="2:43" ht="9" customHeight="1" x14ac:dyDescent="0.45">
      <c r="C37" s="40"/>
      <c r="D37" s="32"/>
      <c r="E37" s="32"/>
      <c r="F37" s="32"/>
      <c r="G37" s="34"/>
      <c r="H37" s="231"/>
      <c r="I37" s="232"/>
      <c r="J37" s="233"/>
      <c r="K37" s="234"/>
      <c r="L37" s="234"/>
      <c r="M37" s="235"/>
      <c r="N37" s="236"/>
    </row>
    <row r="38" spans="2:43" ht="8.1999999999999993" customHeight="1" x14ac:dyDescent="0.45">
      <c r="C38" s="40"/>
      <c r="D38" s="41"/>
      <c r="H38" s="231" t="s">
        <v>112</v>
      </c>
      <c r="I38" s="232"/>
      <c r="J38" s="233"/>
      <c r="K38" s="234"/>
      <c r="L38" s="234"/>
      <c r="M38" s="235" t="s">
        <v>103</v>
      </c>
      <c r="N38" s="236" t="s">
        <v>103</v>
      </c>
    </row>
    <row r="39" spans="2:43" ht="8.1999999999999993" customHeight="1" x14ac:dyDescent="0.45">
      <c r="C39" s="40"/>
      <c r="D39" s="41"/>
      <c r="H39" s="231"/>
      <c r="I39" s="232"/>
      <c r="J39" s="233"/>
      <c r="K39" s="234"/>
      <c r="L39" s="234"/>
      <c r="M39" s="235"/>
      <c r="N39" s="236"/>
    </row>
    <row r="40" spans="2:43" ht="7.5" customHeight="1" x14ac:dyDescent="0.45">
      <c r="H40" s="231"/>
      <c r="I40" s="232"/>
      <c r="J40" s="233"/>
      <c r="K40" s="234"/>
      <c r="L40" s="234"/>
      <c r="M40" s="235"/>
      <c r="N40" s="236"/>
    </row>
    <row r="41" spans="2:43" ht="24" customHeight="1" thickBot="1" x14ac:dyDescent="0.5">
      <c r="B41" s="237"/>
      <c r="C41" s="238"/>
      <c r="D41" s="238"/>
      <c r="E41" s="238"/>
      <c r="F41" s="238"/>
      <c r="G41" s="238"/>
      <c r="H41" s="239" t="s">
        <v>113</v>
      </c>
      <c r="I41" s="240"/>
      <c r="J41" s="240"/>
      <c r="K41" s="42"/>
      <c r="L41" s="42"/>
      <c r="M41" s="43"/>
      <c r="N41" s="44" t="s">
        <v>103</v>
      </c>
    </row>
    <row r="42" spans="2:43" ht="68.25" customHeight="1" thickBot="1" x14ac:dyDescent="0.5">
      <c r="B42" s="241" t="s">
        <v>114</v>
      </c>
      <c r="C42" s="242"/>
      <c r="D42" s="242"/>
      <c r="E42" s="242"/>
      <c r="F42" s="242"/>
      <c r="G42" s="242"/>
      <c r="H42" s="243"/>
      <c r="I42" s="243"/>
      <c r="J42" s="243"/>
      <c r="K42" s="243"/>
      <c r="L42" s="243"/>
      <c r="M42" s="243"/>
      <c r="N42" s="244"/>
    </row>
    <row r="43" spans="2:43" s="24" customFormat="1" ht="30.75" customHeight="1" thickBot="1" x14ac:dyDescent="0.5">
      <c r="B43" s="245" t="s">
        <v>115</v>
      </c>
      <c r="C43" s="242"/>
      <c r="D43" s="242"/>
      <c r="E43" s="242"/>
      <c r="F43" s="242"/>
      <c r="G43" s="242"/>
      <c r="H43" s="242"/>
      <c r="I43" s="242"/>
      <c r="J43" s="242"/>
      <c r="K43" s="242"/>
      <c r="L43" s="242"/>
      <c r="M43" s="242"/>
      <c r="N43" s="246"/>
      <c r="O43" s="26"/>
      <c r="P43" s="26"/>
      <c r="Q43" s="26"/>
      <c r="R43" s="26"/>
      <c r="S43" s="26"/>
      <c r="T43" s="26"/>
      <c r="U43" s="26"/>
    </row>
    <row r="44" spans="2:43" ht="46.5" customHeight="1" thickBot="1" x14ac:dyDescent="0.5">
      <c r="B44" s="245" t="s">
        <v>116</v>
      </c>
      <c r="C44" s="247"/>
      <c r="D44" s="247"/>
      <c r="E44" s="247"/>
      <c r="F44" s="247"/>
      <c r="G44" s="247"/>
      <c r="H44" s="247"/>
      <c r="I44" s="247"/>
      <c r="J44" s="247"/>
      <c r="K44" s="247"/>
      <c r="L44" s="247"/>
      <c r="M44" s="247"/>
      <c r="N44" s="248"/>
    </row>
    <row r="45" spans="2:43" ht="3.75" customHeight="1" thickBot="1" x14ac:dyDescent="0.5">
      <c r="B45" s="23"/>
      <c r="C45" s="23"/>
      <c r="D45" s="23"/>
      <c r="E45" s="23"/>
      <c r="F45" s="23"/>
      <c r="G45" s="23"/>
      <c r="H45" s="23"/>
      <c r="I45" s="23"/>
      <c r="J45" s="23"/>
      <c r="K45" s="23"/>
      <c r="L45" s="23"/>
      <c r="M45" s="23"/>
      <c r="N45" s="23"/>
    </row>
    <row r="46" spans="2:43" ht="15" customHeight="1" thickBot="1" x14ac:dyDescent="0.5">
      <c r="B46" s="228" t="s">
        <v>117</v>
      </c>
      <c r="C46" s="229"/>
      <c r="D46" s="229"/>
      <c r="E46" s="229"/>
      <c r="F46" s="229"/>
      <c r="G46" s="229"/>
      <c r="H46" s="229"/>
      <c r="I46" s="229"/>
      <c r="J46" s="229"/>
      <c r="K46" s="229"/>
      <c r="L46" s="229"/>
      <c r="M46" s="229"/>
      <c r="N46" s="230"/>
      <c r="V46" s="22"/>
      <c r="W46" s="22"/>
      <c r="X46" s="22"/>
      <c r="Y46" s="22"/>
      <c r="Z46" s="22"/>
      <c r="AA46" s="22"/>
      <c r="AB46" s="22"/>
      <c r="AC46" s="22"/>
      <c r="AD46" s="22"/>
      <c r="AE46" s="22"/>
      <c r="AF46" s="22"/>
      <c r="AG46" s="22"/>
      <c r="AH46" s="22"/>
      <c r="AI46" s="22"/>
      <c r="AJ46" s="22"/>
      <c r="AK46" s="22"/>
      <c r="AL46" s="22"/>
      <c r="AM46" s="22"/>
      <c r="AN46" s="22"/>
      <c r="AO46" s="22"/>
      <c r="AP46" s="22"/>
      <c r="AQ46" s="22"/>
    </row>
  </sheetData>
  <mergeCells count="72">
    <mergeCell ref="B2:N2"/>
    <mergeCell ref="B4:M4"/>
    <mergeCell ref="B5:N5"/>
    <mergeCell ref="B6:B7"/>
    <mergeCell ref="C6:C8"/>
    <mergeCell ref="D6:D8"/>
    <mergeCell ref="E6:N8"/>
    <mergeCell ref="E9:N9"/>
    <mergeCell ref="E10:N10"/>
    <mergeCell ref="E11:N11"/>
    <mergeCell ref="E12:N12"/>
    <mergeCell ref="H13:J14"/>
    <mergeCell ref="K13:K14"/>
    <mergeCell ref="L13:L14"/>
    <mergeCell ref="M13:M14"/>
    <mergeCell ref="N13:N14"/>
    <mergeCell ref="H17:J18"/>
    <mergeCell ref="K17:K18"/>
    <mergeCell ref="L17:L18"/>
    <mergeCell ref="M17:M18"/>
    <mergeCell ref="N17:N18"/>
    <mergeCell ref="H15:J16"/>
    <mergeCell ref="K15:K16"/>
    <mergeCell ref="L15:L16"/>
    <mergeCell ref="M15:M16"/>
    <mergeCell ref="N15:N16"/>
    <mergeCell ref="H21:J22"/>
    <mergeCell ref="K21:K22"/>
    <mergeCell ref="L21:L22"/>
    <mergeCell ref="M21:M22"/>
    <mergeCell ref="N21:N22"/>
    <mergeCell ref="H19:J20"/>
    <mergeCell ref="K19:K20"/>
    <mergeCell ref="L19:L20"/>
    <mergeCell ref="M19:M20"/>
    <mergeCell ref="N19:N20"/>
    <mergeCell ref="H26:J28"/>
    <mergeCell ref="K26:K28"/>
    <mergeCell ref="L26:L28"/>
    <mergeCell ref="M26:M28"/>
    <mergeCell ref="N26:N28"/>
    <mergeCell ref="H23:J25"/>
    <mergeCell ref="K23:K25"/>
    <mergeCell ref="L23:L25"/>
    <mergeCell ref="M23:M25"/>
    <mergeCell ref="N23:N25"/>
    <mergeCell ref="H32:J34"/>
    <mergeCell ref="K32:K34"/>
    <mergeCell ref="L32:L34"/>
    <mergeCell ref="M32:M34"/>
    <mergeCell ref="N32:N34"/>
    <mergeCell ref="H29:J31"/>
    <mergeCell ref="K29:K31"/>
    <mergeCell ref="L29:L31"/>
    <mergeCell ref="M29:M31"/>
    <mergeCell ref="N29:N31"/>
    <mergeCell ref="B46:N46"/>
    <mergeCell ref="H35:J37"/>
    <mergeCell ref="K35:K37"/>
    <mergeCell ref="L35:L37"/>
    <mergeCell ref="M35:M37"/>
    <mergeCell ref="N35:N37"/>
    <mergeCell ref="H38:J40"/>
    <mergeCell ref="K38:K40"/>
    <mergeCell ref="L38:L40"/>
    <mergeCell ref="M38:M40"/>
    <mergeCell ref="N38:N40"/>
    <mergeCell ref="B41:G41"/>
    <mergeCell ref="H41:J41"/>
    <mergeCell ref="B42:N42"/>
    <mergeCell ref="B43:N43"/>
    <mergeCell ref="B44:N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Water Balance</vt:lpstr>
      <vt:lpstr>Council Use</vt:lpstr>
      <vt:lpstr>Connections and SUIPs</vt:lpstr>
      <vt:lpstr>Pipes and Pressure</vt:lpstr>
      <vt:lpstr>Demand Assumptions</vt:lpstr>
      <vt:lpstr>Leakage Estimate</vt:lpstr>
      <vt:lpstr>Leakage Guide</vt:lpstr>
      <vt:lpstr>'Water Balance'!Print_Area</vt:lpstr>
      <vt:lpstr>Water_Balance</vt:lpstr>
      <vt:lpstr>Water_Balance_Data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Vaughn Crowther</dc:creator>
  <cp:lastModifiedBy>Vaughn Crowther</cp:lastModifiedBy>
  <dcterms:created xsi:type="dcterms:W3CDTF">2022-02-16T21:52:25Z</dcterms:created>
  <dcterms:modified xsi:type="dcterms:W3CDTF">2024-09-13T02:31:20Z</dcterms:modified>
</cp:coreProperties>
</file>